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8745" windowHeight="11880" activeTab="0"/>
  </bookViews>
  <sheets>
    <sheet name="ARC chains" sheetId="1" r:id="rId1"/>
    <sheet name="ARC Current Consumption Graph" sheetId="2" r:id="rId2"/>
  </sheets>
  <definedNames/>
  <calcPr fullCalcOnLoad="1" iterate="1" iterateCount="1000" iterateDelta="0.001"/>
</workbook>
</file>

<file path=xl/comments1.xml><?xml version="1.0" encoding="utf-8"?>
<comments xmlns="http://schemas.openxmlformats.org/spreadsheetml/2006/main">
  <authors>
    <author>Jon Harris</author>
  </authors>
  <commentList>
    <comment ref="A1" authorId="0">
      <text>
        <r>
          <rPr>
            <b/>
            <sz val="8"/>
            <rFont val="Tahoma"/>
            <family val="2"/>
          </rPr>
          <t xml:space="preserve">Instructions
</t>
        </r>
        <r>
          <rPr>
            <sz val="8"/>
            <rFont val="Tahoma"/>
            <family val="2"/>
          </rPr>
          <t xml:space="preserve">
1. Based on how many ARCs you have on each chain (1-4), use the appropriate row on the spreadsheet.
2. Enter the length of cable in feet between the ARC-PS and ARCs and between each additional ARC under "Cable".
The Cable 1 and Cable 2 boxes are provided just in case you are using two different cable segments between the ARC-PS and ARC 1.  If this is not the case, simply use the Cable 1 cell and and leave Cabe 2 set to 0.
3. Choose the wire gague of the cable you are using from the drop-down list under "Cable". Most but not all CAT-5 cable uses 24AWG conductors.  This information is sometimes printed on the cable itself.  If not, see the cable manufactuer's data sheet for more information.
4. If the selected configuration will work each ARC will display "OK".  If not it will display "Doesn't Work".  If it doesn't work, decrease cable lengths, number of ARCs and/or wire gauge.</t>
        </r>
      </text>
    </comment>
  </commentList>
</comments>
</file>

<file path=xl/sharedStrings.xml><?xml version="1.0" encoding="utf-8"?>
<sst xmlns="http://schemas.openxmlformats.org/spreadsheetml/2006/main" count="89" uniqueCount="37">
  <si>
    <t>AWG of CAT5 cable</t>
  </si>
  <si>
    <t>ARC Voltage (V)</t>
  </si>
  <si>
    <t>ARC Current (mA per)</t>
  </si>
  <si>
    <t>PWR cable Resistance (Ω)</t>
  </si>
  <si>
    <t>GND cable Resistance (Ω)</t>
  </si>
  <si>
    <t>Voltage at ARC's power input</t>
  </si>
  <si>
    <t>Voltage at ARC's ground input</t>
  </si>
  <si>
    <t>Cable</t>
  </si>
  <si>
    <t>ARC 1</t>
  </si>
  <si>
    <t>ARC 2</t>
  </si>
  <si>
    <t>ARC 3</t>
  </si>
  <si>
    <t>ARC 4</t>
  </si>
  <si>
    <t>Length of cable (feet)</t>
  </si>
  <si>
    <t>1 ARC on the chain</t>
  </si>
  <si>
    <t>2 ARCs on the chain</t>
  </si>
  <si>
    <t>3 ARCs on the chain</t>
  </si>
  <si>
    <t>4 ARCs on the chain</t>
  </si>
  <si>
    <t>Total current to chain (mA)</t>
  </si>
  <si>
    <t>Defaults</t>
  </si>
  <si>
    <t>24 AWG Cable Resistance</t>
  </si>
  <si>
    <t>26 AWG Cable Resistance</t>
  </si>
  <si>
    <t>28 AWG Cable Resistance</t>
  </si>
  <si>
    <t>Volts</t>
  </si>
  <si>
    <t>Ω / 1000'</t>
  </si>
  <si>
    <t>Power Supply</t>
  </si>
  <si>
    <t>cable error compensation</t>
  </si>
  <si>
    <t>"+10% error"</t>
  </si>
  <si>
    <t>Current (mA)</t>
  </si>
  <si>
    <t>Voltage (V)</t>
  </si>
  <si>
    <t>ARC-PS</t>
  </si>
  <si>
    <t>Instructions</t>
  </si>
  <si>
    <t>Max brightness</t>
  </si>
  <si>
    <t>Displays  ########</t>
  </si>
  <si>
    <t>Conditions (worst case):</t>
  </si>
  <si>
    <t>Cable 1</t>
  </si>
  <si>
    <t>Cable 2</t>
  </si>
  <si>
    <t>NOTE: Most but not all CAT-5 cable uses 24AWG conductors.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</si>
</sst>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
    <numFmt numFmtId="167" formatCode="[$-409]h:mm:ss\ AM/PM"/>
    <numFmt numFmtId="168" formatCode="[$-409]h:mm:ss\ AM/PM;@"/>
  </numFmts>
  <fonts count="16">
    <font>
      <sz val="10"/>
      <name val="Arial"/>
      <family val="0"/>
    </font>
    <font>
      <b/>
      <sz val="10"/>
      <name val="Arial"/>
      <family val="2"/>
    </font>
    <font>
      <u val="single"/>
      <sz val="10"/>
      <color indexed="12"/>
      <name val="Arial"/>
      <family val="0"/>
    </font>
    <font>
      <u val="single"/>
      <sz val="10"/>
      <color indexed="36"/>
      <name val="Arial"/>
      <family val="0"/>
    </font>
    <font>
      <b/>
      <u val="single"/>
      <sz val="12"/>
      <name val="Arial"/>
      <family val="2"/>
    </font>
    <font>
      <i/>
      <sz val="9"/>
      <name val="Arial"/>
      <family val="2"/>
    </font>
    <font>
      <sz val="9"/>
      <name val="Arial"/>
      <family val="2"/>
    </font>
    <font>
      <b/>
      <sz val="12"/>
      <name val="Arial"/>
      <family val="0"/>
    </font>
    <font>
      <b/>
      <sz val="10.75"/>
      <name val="Arial"/>
      <family val="0"/>
    </font>
    <font>
      <sz val="10.75"/>
      <name val="Arial"/>
      <family val="0"/>
    </font>
    <font>
      <b/>
      <sz val="8"/>
      <name val="Tahoma"/>
      <family val="2"/>
    </font>
    <font>
      <sz val="8"/>
      <name val="Tahoma"/>
      <family val="2"/>
    </font>
    <font>
      <b/>
      <sz val="11"/>
      <color indexed="16"/>
      <name val="Arial"/>
      <family val="2"/>
    </font>
    <font>
      <b/>
      <u val="single"/>
      <sz val="10"/>
      <name val="Arial"/>
      <family val="2"/>
    </font>
    <font>
      <sz val="10"/>
      <color indexed="16"/>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11">
    <border>
      <left/>
      <right/>
      <top/>
      <bottom/>
      <diagonal/>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1" fontId="0" fillId="2" borderId="1" xfId="0" applyNumberFormat="1" applyFont="1" applyFill="1" applyBorder="1" applyAlignment="1" applyProtection="1">
      <alignment horizontal="center"/>
      <protection locked="0"/>
    </xf>
    <xf numFmtId="1" fontId="0" fillId="2" borderId="2" xfId="0" applyNumberFormat="1" applyFont="1" applyFill="1" applyBorder="1" applyAlignment="1" applyProtection="1">
      <alignment horizontal="center"/>
      <protection locked="0"/>
    </xf>
    <xf numFmtId="166" fontId="1" fillId="0" borderId="0" xfId="0" applyNumberFormat="1" applyFont="1" applyAlignment="1" applyProtection="1">
      <alignment/>
      <protection hidden="1"/>
    </xf>
    <xf numFmtId="2" fontId="0" fillId="0" borderId="0" xfId="0" applyNumberFormat="1" applyFont="1" applyAlignment="1" applyProtection="1">
      <alignment horizontal="center"/>
      <protection hidden="1"/>
    </xf>
    <xf numFmtId="2" fontId="0" fillId="0" borderId="0" xfId="0" applyNumberFormat="1" applyFont="1" applyFill="1" applyAlignment="1" applyProtection="1">
      <alignment horizontal="center"/>
      <protection hidden="1"/>
    </xf>
    <xf numFmtId="2" fontId="0" fillId="0" borderId="0" xfId="0" applyNumberFormat="1" applyFont="1" applyBorder="1" applyAlignment="1" applyProtection="1">
      <alignment horizontal="center"/>
      <protection hidden="1"/>
    </xf>
    <xf numFmtId="166" fontId="0" fillId="0" borderId="0" xfId="0" applyNumberFormat="1" applyFont="1" applyAlignment="1" applyProtection="1">
      <alignment horizontal="center"/>
      <protection hidden="1"/>
    </xf>
    <xf numFmtId="0" fontId="4" fillId="0" borderId="0" xfId="0" applyFont="1" applyAlignment="1" applyProtection="1">
      <alignment/>
      <protection hidden="1"/>
    </xf>
    <xf numFmtId="0" fontId="0" fillId="0" borderId="0" xfId="0" applyFont="1" applyAlignment="1" applyProtection="1">
      <alignment/>
      <protection hidden="1"/>
    </xf>
    <xf numFmtId="2" fontId="0" fillId="0" borderId="0" xfId="0" applyNumberFormat="1" applyFont="1" applyAlignment="1" applyProtection="1">
      <alignment/>
      <protection hidden="1"/>
    </xf>
    <xf numFmtId="0" fontId="1" fillId="0" borderId="0" xfId="0" applyFont="1" applyAlignment="1" applyProtection="1">
      <alignment horizontal="right"/>
      <protection hidden="1"/>
    </xf>
    <xf numFmtId="0" fontId="0" fillId="0" borderId="0" xfId="0" applyFont="1" applyFill="1" applyBorder="1" applyAlignment="1" applyProtection="1">
      <alignment/>
      <protection hidden="1"/>
    </xf>
    <xf numFmtId="0" fontId="1" fillId="0" borderId="0" xfId="0" applyFont="1" applyAlignment="1" applyProtection="1">
      <alignment horizontal="center"/>
      <protection hidden="1"/>
    </xf>
    <xf numFmtId="0" fontId="0" fillId="0" borderId="0" xfId="0" applyAlignment="1" applyProtection="1">
      <alignment/>
      <protection hidden="1"/>
    </xf>
    <xf numFmtId="2" fontId="1" fillId="0" borderId="0" xfId="0" applyNumberFormat="1" applyFont="1" applyAlignment="1" applyProtection="1">
      <alignment/>
      <protection hidden="1"/>
    </xf>
    <xf numFmtId="168" fontId="0" fillId="0" borderId="0" xfId="0" applyNumberFormat="1" applyFont="1" applyAlignment="1" applyProtection="1">
      <alignment horizontal="center"/>
      <protection hidden="1"/>
    </xf>
    <xf numFmtId="0" fontId="0" fillId="0" borderId="0" xfId="0" applyFont="1" applyFill="1" applyBorder="1" applyAlignment="1" applyProtection="1">
      <alignment/>
      <protection locked="0"/>
    </xf>
    <xf numFmtId="164" fontId="0" fillId="0" borderId="3" xfId="0" applyNumberFormat="1" applyBorder="1" applyAlignment="1">
      <alignment/>
    </xf>
    <xf numFmtId="164" fontId="0" fillId="0" borderId="4" xfId="0" applyNumberFormat="1" applyBorder="1" applyAlignment="1">
      <alignment/>
    </xf>
    <xf numFmtId="164" fontId="0" fillId="0" borderId="5" xfId="0" applyNumberFormat="1" applyBorder="1" applyAlignment="1">
      <alignment/>
    </xf>
    <xf numFmtId="164" fontId="0" fillId="0" borderId="6" xfId="0" applyNumberFormat="1" applyBorder="1" applyAlignment="1">
      <alignment/>
    </xf>
    <xf numFmtId="0" fontId="0" fillId="0" borderId="0" xfId="0" applyFont="1" applyFill="1" applyAlignment="1" applyProtection="1">
      <alignment/>
      <protection hidden="1"/>
    </xf>
    <xf numFmtId="0" fontId="12" fillId="3" borderId="7" xfId="0" applyFont="1" applyFill="1" applyBorder="1" applyAlignment="1" applyProtection="1">
      <alignment/>
      <protection hidden="1"/>
    </xf>
    <xf numFmtId="164" fontId="1" fillId="0" borderId="0" xfId="0" applyNumberFormat="1" applyFont="1" applyAlignment="1" applyProtection="1">
      <alignment/>
      <protection hidden="1"/>
    </xf>
    <xf numFmtId="0" fontId="13" fillId="2" borderId="2" xfId="0" applyFont="1" applyFill="1" applyBorder="1" applyAlignment="1" applyProtection="1">
      <alignment/>
      <protection hidden="1"/>
    </xf>
    <xf numFmtId="0" fontId="13" fillId="2" borderId="8" xfId="0" applyFont="1" applyFill="1" applyBorder="1" applyAlignment="1" applyProtection="1">
      <alignment/>
      <protection hidden="1"/>
    </xf>
    <xf numFmtId="0" fontId="1" fillId="4" borderId="9" xfId="0"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0" fillId="4" borderId="10" xfId="0" applyFill="1" applyBorder="1" applyAlignment="1">
      <alignment horizontal="center"/>
    </xf>
    <xf numFmtId="0" fontId="0" fillId="4" borderId="1" xfId="0" applyFill="1" applyBorder="1" applyAlignment="1">
      <alignment horizontal="center"/>
    </xf>
    <xf numFmtId="0" fontId="5" fillId="0" borderId="0" xfId="0" applyFont="1" applyAlignment="1" applyProtection="1">
      <alignment horizontal="left"/>
      <protection hidden="1"/>
    </xf>
    <xf numFmtId="0" fontId="6" fillId="0" borderId="0" xfId="0" applyFont="1" applyAlignment="1">
      <alignment/>
    </xf>
    <xf numFmtId="0" fontId="4" fillId="0" borderId="0" xfId="0" applyFont="1" applyAlignment="1" applyProtection="1">
      <alignment horizontal="left"/>
      <protection hidden="1"/>
    </xf>
    <xf numFmtId="0" fontId="1" fillId="5" borderId="9" xfId="0" applyFont="1" applyFill="1" applyBorder="1" applyAlignment="1" applyProtection="1">
      <alignment horizontal="center" vertical="center"/>
      <protection hidden="1"/>
    </xf>
    <xf numFmtId="0" fontId="1" fillId="5" borderId="10" xfId="0" applyFont="1" applyFill="1" applyBorder="1" applyAlignment="1" applyProtection="1">
      <alignment horizontal="center" vertical="center"/>
      <protection hidden="1"/>
    </xf>
    <xf numFmtId="2" fontId="1" fillId="5" borderId="9" xfId="0" applyNumberFormat="1" applyFont="1" applyFill="1" applyBorder="1" applyAlignment="1" applyProtection="1">
      <alignment horizontal="center" vertical="center"/>
      <protection hidden="1"/>
    </xf>
    <xf numFmtId="2" fontId="1" fillId="5" borderId="10" xfId="0" applyNumberFormat="1" applyFont="1" applyFill="1" applyBorder="1" applyAlignment="1" applyProtection="1">
      <alignment horizontal="center" vertical="center"/>
      <protection hidden="1"/>
    </xf>
    <xf numFmtId="0" fontId="14" fillId="5" borderId="10" xfId="0" applyFont="1" applyFill="1" applyBorder="1" applyAlignment="1" applyProtection="1">
      <alignment horizontal="center" vertical="top" wrapText="1"/>
      <protection hidden="1"/>
    </xf>
    <xf numFmtId="0" fontId="14" fillId="5" borderId="1" xfId="0" applyFont="1" applyFill="1" applyBorder="1" applyAlignment="1" applyProtection="1">
      <alignment horizontal="center" vertical="top"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ARC Maximum Current Consumption vs. Input Voltage</a:t>
            </a:r>
          </a:p>
        </c:rich>
      </c:tx>
      <c:layout/>
      <c:spPr>
        <a:noFill/>
        <a:ln>
          <a:noFill/>
        </a:ln>
      </c:spPr>
    </c:title>
    <c:plotArea>
      <c:layout>
        <c:manualLayout>
          <c:xMode val="edge"/>
          <c:yMode val="edge"/>
          <c:x val="0.04225"/>
          <c:y val="0.05925"/>
          <c:w val="0.94575"/>
          <c:h val="0.891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'ARC Current Consumption Graph'!$P$3:$P$26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'ARC Current Consumption Graph'!$Q$3:$Q$26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1"/>
        </c:ser>
        <c:axId val="59212586"/>
        <c:axId val="63151227"/>
      </c:scatterChart>
      <c:valAx>
        <c:axId val="59212586"/>
        <c:scaling>
          <c:orientation val="minMax"/>
          <c:max val="15"/>
          <c:min val="3"/>
        </c:scaling>
        <c:axPos val="b"/>
        <c:title>
          <c:tx>
            <c:rich>
              <a:bodyPr vert="horz" rot="0" anchor="ctr"/>
              <a:lstStyle/>
              <a:p>
                <a:pPr algn="ctr">
                  <a:defRPr/>
                </a:pPr>
                <a:r>
                  <a:rPr lang="en-US" cap="none" sz="1075" b="1" i="0" u="none" baseline="0">
                    <a:latin typeface="Arial"/>
                    <a:ea typeface="Arial"/>
                    <a:cs typeface="Arial"/>
                  </a:rPr>
                  <a:t>ARC Voltage (V)</a:t>
                </a:r>
              </a:p>
            </c:rich>
          </c:tx>
          <c:layout/>
          <c:overlay val="0"/>
          <c:spPr>
            <a:noFill/>
            <a:ln>
              <a:noFill/>
            </a:ln>
          </c:spPr>
        </c:title>
        <c:delete val="0"/>
        <c:numFmt formatCode="General" sourceLinked="1"/>
        <c:majorTickMark val="out"/>
        <c:minorTickMark val="in"/>
        <c:tickLblPos val="nextTo"/>
        <c:crossAx val="63151227"/>
        <c:crosses val="autoZero"/>
        <c:crossBetween val="midCat"/>
        <c:dispUnits/>
        <c:majorUnit val="1"/>
        <c:minorUnit val="0.5"/>
      </c:valAx>
      <c:valAx>
        <c:axId val="63151227"/>
        <c:scaling>
          <c:orientation val="minMax"/>
          <c:max val="700"/>
          <c:min val="0"/>
        </c:scaling>
        <c:axPos val="l"/>
        <c:title>
          <c:tx>
            <c:rich>
              <a:bodyPr vert="horz" rot="-5400000" anchor="ctr"/>
              <a:lstStyle/>
              <a:p>
                <a:pPr algn="ctr">
                  <a:defRPr/>
                </a:pPr>
                <a:r>
                  <a:rPr lang="en-US" cap="none" sz="1075" b="1" i="0" u="none" baseline="0">
                    <a:latin typeface="Arial"/>
                    <a:ea typeface="Arial"/>
                    <a:cs typeface="Arial"/>
                  </a:rPr>
                  <a:t>ARC Current (mA)</a:t>
                </a:r>
              </a:p>
            </c:rich>
          </c:tx>
          <c:layout/>
          <c:overlay val="0"/>
          <c:spPr>
            <a:noFill/>
            <a:ln>
              <a:noFill/>
            </a:ln>
          </c:spPr>
        </c:title>
        <c:majorGridlines/>
        <c:delete val="0"/>
        <c:numFmt formatCode="0" sourceLinked="0"/>
        <c:majorTickMark val="out"/>
        <c:minorTickMark val="in"/>
        <c:tickLblPos val="nextTo"/>
        <c:crossAx val="59212586"/>
        <c:crosses val="autoZero"/>
        <c:crossBetween val="midCat"/>
        <c:dispUnits/>
        <c:minorUnit val="25"/>
      </c:valAx>
      <c:spPr>
        <a:solidFill>
          <a:srgbClr val="C0C0C0"/>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38100</xdr:rowOff>
    </xdr:from>
    <xdr:to>
      <xdr:col>13</xdr:col>
      <xdr:colOff>333375</xdr:colOff>
      <xdr:row>43</xdr:row>
      <xdr:rowOff>66675</xdr:rowOff>
    </xdr:to>
    <xdr:graphicFrame>
      <xdr:nvGraphicFramePr>
        <xdr:cNvPr id="1" name="Chart 1"/>
        <xdr:cNvGraphicFramePr/>
      </xdr:nvGraphicFramePr>
      <xdr:xfrm>
        <a:off x="276225" y="200025"/>
        <a:ext cx="7981950" cy="6829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81"/>
  <sheetViews>
    <sheetView tabSelected="1" workbookViewId="0" topLeftCell="A1">
      <selection activeCell="C15" sqref="C15"/>
    </sheetView>
  </sheetViews>
  <sheetFormatPr defaultColWidth="9.140625" defaultRowHeight="12.75"/>
  <cols>
    <col min="1" max="1" width="28.7109375" style="9" bestFit="1" customWidth="1"/>
    <col min="2" max="2" width="11.00390625" style="9" customWidth="1"/>
    <col min="3" max="4" width="8.7109375" style="9" customWidth="1"/>
    <col min="5" max="5" width="10.7109375" style="9" customWidth="1"/>
    <col min="6" max="6" width="8.7109375" style="10" customWidth="1"/>
    <col min="7" max="7" width="10.7109375" style="10" customWidth="1"/>
    <col min="8" max="8" width="8.7109375" style="10" customWidth="1"/>
    <col min="9" max="9" width="10.7109375" style="10" customWidth="1"/>
    <col min="10" max="10" width="8.7109375" style="10" customWidth="1"/>
    <col min="11" max="11" width="10.7109375" style="9" customWidth="1"/>
    <col min="12" max="16384" width="9.140625" style="9" customWidth="1"/>
  </cols>
  <sheetData>
    <row r="1" ht="15">
      <c r="A1" s="23" t="s">
        <v>30</v>
      </c>
    </row>
    <row r="2" ht="12.75">
      <c r="A2" s="22"/>
    </row>
    <row r="3" spans="1:2" ht="15.75">
      <c r="A3" s="8" t="s">
        <v>18</v>
      </c>
      <c r="B3" s="8"/>
    </row>
    <row r="4" spans="1:4" ht="12.75">
      <c r="A4" s="11" t="s">
        <v>24</v>
      </c>
      <c r="B4" s="11"/>
      <c r="C4" s="17">
        <v>15</v>
      </c>
      <c r="D4" s="12" t="s">
        <v>22</v>
      </c>
    </row>
    <row r="5" spans="1:4" ht="12.75">
      <c r="A5" s="11" t="s">
        <v>19</v>
      </c>
      <c r="B5" s="11"/>
      <c r="C5" s="17">
        <v>28.6</v>
      </c>
      <c r="D5" s="12" t="s">
        <v>23</v>
      </c>
    </row>
    <row r="6" spans="1:4" ht="12.75">
      <c r="A6" s="11" t="s">
        <v>20</v>
      </c>
      <c r="B6" s="11"/>
      <c r="C6" s="17">
        <v>41</v>
      </c>
      <c r="D6" s="12" t="s">
        <v>23</v>
      </c>
    </row>
    <row r="7" spans="1:4" ht="12.75">
      <c r="A7" s="11" t="s">
        <v>21</v>
      </c>
      <c r="B7" s="11"/>
      <c r="C7" s="17">
        <v>82</v>
      </c>
      <c r="D7" s="12" t="s">
        <v>23</v>
      </c>
    </row>
    <row r="8" spans="1:5" ht="12.75">
      <c r="A8" s="31" t="s">
        <v>36</v>
      </c>
      <c r="B8" s="31"/>
      <c r="C8" s="32"/>
      <c r="D8" s="32"/>
      <c r="E8" s="32"/>
    </row>
    <row r="9" spans="1:4" ht="12.75">
      <c r="A9" s="11"/>
      <c r="B9" s="11"/>
      <c r="C9" s="17"/>
      <c r="D9" s="12"/>
    </row>
    <row r="10" ht="12" customHeight="1"/>
    <row r="11" spans="1:4" ht="12.75" hidden="1">
      <c r="A11" s="11" t="s">
        <v>25</v>
      </c>
      <c r="B11" s="11"/>
      <c r="C11" s="9">
        <v>1.1</v>
      </c>
      <c r="D11" s="9" t="s">
        <v>26</v>
      </c>
    </row>
    <row r="12" spans="1:3" ht="15.75">
      <c r="A12" s="33" t="s">
        <v>13</v>
      </c>
      <c r="B12" s="33"/>
      <c r="C12" s="33"/>
    </row>
    <row r="13" spans="2:10" ht="12.75">
      <c r="B13" s="27" t="s">
        <v>29</v>
      </c>
      <c r="C13" s="13" t="s">
        <v>34</v>
      </c>
      <c r="D13" s="13" t="s">
        <v>35</v>
      </c>
      <c r="E13" s="34" t="s">
        <v>8</v>
      </c>
      <c r="F13" s="9"/>
      <c r="G13" s="9"/>
      <c r="H13" s="9"/>
      <c r="I13" s="9"/>
      <c r="J13" s="9"/>
    </row>
    <row r="14" spans="1:10" ht="12.75">
      <c r="A14" s="11" t="s">
        <v>0</v>
      </c>
      <c r="B14" s="28"/>
      <c r="C14" s="2">
        <v>24</v>
      </c>
      <c r="D14" s="2">
        <v>24</v>
      </c>
      <c r="E14" s="35"/>
      <c r="F14" s="9"/>
      <c r="G14" s="9"/>
      <c r="H14" s="9"/>
      <c r="I14" s="9"/>
      <c r="J14" s="9"/>
    </row>
    <row r="15" spans="1:10" ht="12.75">
      <c r="A15" s="11" t="s">
        <v>12</v>
      </c>
      <c r="B15" s="29"/>
      <c r="C15" s="1">
        <v>200</v>
      </c>
      <c r="D15" s="1">
        <v>0</v>
      </c>
      <c r="E15" s="38" t="str">
        <f>IF(ISERROR(E21),"",IF(E21=3.5,"Doesn't Work","OK"))</f>
        <v>OK</v>
      </c>
      <c r="F15" s="9"/>
      <c r="G15" s="9"/>
      <c r="H15" s="9"/>
      <c r="I15" s="9"/>
      <c r="J15" s="9"/>
    </row>
    <row r="16" spans="2:10" ht="12.75">
      <c r="B16" s="30"/>
      <c r="E16" s="39"/>
      <c r="F16" s="9"/>
      <c r="G16" s="9"/>
      <c r="H16" s="9"/>
      <c r="I16" s="9"/>
      <c r="J16" s="9"/>
    </row>
    <row r="17" spans="1:11" ht="12.75" hidden="1">
      <c r="A17" s="9" t="s">
        <v>3</v>
      </c>
      <c r="C17" s="4">
        <f>IF(C14=24,(C5*C11*(C15/1000)/2),IF(C14=26,(C6*C11*(C15/1000)/2),IF(C14=28,(C7*C11*(C15/1000)/2),0)))</f>
        <v>3.146000000000001</v>
      </c>
      <c r="D17" s="4">
        <f>IF(D14=24,(C5*C11*(D15/1000)/2),IF(D14=26,(C6*C11*(D15/1000)/2),IF(D14=28,(C7*C11*(D15/1000)/2),0)))</f>
        <v>0</v>
      </c>
      <c r="E17" s="5"/>
      <c r="F17" s="4"/>
      <c r="G17" s="4"/>
      <c r="H17" s="4"/>
      <c r="I17" s="4"/>
      <c r="J17" s="4"/>
      <c r="K17" s="4"/>
    </row>
    <row r="18" spans="1:11" ht="12.75" hidden="1">
      <c r="A18" s="9" t="s">
        <v>4</v>
      </c>
      <c r="C18" s="4">
        <f>C17/2</f>
        <v>1.5730000000000004</v>
      </c>
      <c r="D18" s="4">
        <f>D17/2</f>
        <v>0</v>
      </c>
      <c r="F18" s="4"/>
      <c r="G18" s="4"/>
      <c r="H18" s="4"/>
      <c r="I18" s="4"/>
      <c r="J18" s="4"/>
      <c r="K18" s="4"/>
    </row>
    <row r="19" spans="1:11" ht="12.75" hidden="1">
      <c r="A19" s="9" t="s">
        <v>5</v>
      </c>
      <c r="C19" s="4"/>
      <c r="D19" s="4"/>
      <c r="E19" s="4">
        <f>(C4-((C17+D17)*((E22/1000))))</f>
        <v>14.62532812408646</v>
      </c>
      <c r="F19" s="4"/>
      <c r="G19" s="4"/>
      <c r="H19" s="4"/>
      <c r="I19" s="4"/>
      <c r="J19" s="14"/>
      <c r="K19" s="4"/>
    </row>
    <row r="20" spans="1:11" ht="12.75" hidden="1">
      <c r="A20" s="9" t="s">
        <v>6</v>
      </c>
      <c r="C20" s="10"/>
      <c r="D20" s="4"/>
      <c r="E20" s="4">
        <f>(C18+D18)*((E22/1000))</f>
        <v>0.18733593795676975</v>
      </c>
      <c r="F20" s="4"/>
      <c r="G20" s="4"/>
      <c r="H20" s="14"/>
      <c r="I20" s="4"/>
      <c r="J20" s="4"/>
      <c r="K20" s="4"/>
    </row>
    <row r="21" spans="1:11" ht="12.75" hidden="1">
      <c r="A21" s="9" t="s">
        <v>1</v>
      </c>
      <c r="C21" s="4"/>
      <c r="D21" s="4"/>
      <c r="E21" s="6">
        <f>IF(E19-E20&lt;=3.5,3.5,E19-E20)</f>
        <v>14.43799218612969</v>
      </c>
      <c r="F21" s="6"/>
      <c r="G21" s="6"/>
      <c r="H21" s="6"/>
      <c r="I21" s="6"/>
      <c r="J21" s="6"/>
      <c r="K21" s="6"/>
    </row>
    <row r="22" spans="1:11" ht="12.75" hidden="1">
      <c r="A22" s="9" t="s">
        <v>2</v>
      </c>
      <c r="C22" s="4"/>
      <c r="D22" s="4"/>
      <c r="E22" s="4">
        <f>IF(ISERROR(E21),120,100/SINH(E21/16)+22)</f>
        <v>119.0946840157468</v>
      </c>
      <c r="F22" s="6"/>
      <c r="G22" s="6"/>
      <c r="H22" s="6"/>
      <c r="I22" s="6"/>
      <c r="J22" s="6"/>
      <c r="K22" s="6"/>
    </row>
    <row r="23" spans="1:11" ht="12.75">
      <c r="A23" s="11" t="s">
        <v>17</v>
      </c>
      <c r="B23" s="11"/>
      <c r="C23" s="24">
        <f>IF(ISERROR(E21),"",IF(E21=3.5,"",E22))</f>
        <v>119.0946840157468</v>
      </c>
      <c r="D23" s="4"/>
      <c r="E23" s="7"/>
      <c r="F23" s="6"/>
      <c r="G23" s="6"/>
      <c r="H23" s="6"/>
      <c r="I23" s="6"/>
      <c r="J23" s="6"/>
      <c r="K23" s="6"/>
    </row>
    <row r="24" spans="1:11" ht="26.25" customHeight="1">
      <c r="A24" s="3"/>
      <c r="B24" s="3"/>
      <c r="C24" s="4"/>
      <c r="D24" s="4"/>
      <c r="E24" s="7"/>
      <c r="F24" s="6"/>
      <c r="G24" s="6"/>
      <c r="H24" s="6"/>
      <c r="I24" s="6"/>
      <c r="J24" s="6"/>
      <c r="K24" s="6"/>
    </row>
    <row r="25" spans="1:11" ht="15.75">
      <c r="A25" s="8" t="s">
        <v>14</v>
      </c>
      <c r="B25" s="8"/>
      <c r="C25" s="4"/>
      <c r="D25" s="4"/>
      <c r="E25" s="4"/>
      <c r="F25" s="4"/>
      <c r="G25" s="4"/>
      <c r="H25" s="4"/>
      <c r="I25" s="4"/>
      <c r="J25" s="4"/>
      <c r="K25" s="4"/>
    </row>
    <row r="26" spans="2:10" ht="12.75">
      <c r="B26" s="27" t="s">
        <v>29</v>
      </c>
      <c r="C26" s="13" t="s">
        <v>34</v>
      </c>
      <c r="D26" s="13" t="s">
        <v>35</v>
      </c>
      <c r="E26" s="34" t="s">
        <v>8</v>
      </c>
      <c r="F26" s="13" t="s">
        <v>7</v>
      </c>
      <c r="G26" s="36" t="s">
        <v>9</v>
      </c>
      <c r="H26" s="9"/>
      <c r="I26" s="9"/>
      <c r="J26" s="9"/>
    </row>
    <row r="27" spans="1:10" ht="12.75">
      <c r="A27" s="11" t="s">
        <v>0</v>
      </c>
      <c r="B27" s="28"/>
      <c r="C27" s="2">
        <v>24</v>
      </c>
      <c r="D27" s="2">
        <v>24</v>
      </c>
      <c r="E27" s="35"/>
      <c r="F27" s="2">
        <v>26</v>
      </c>
      <c r="G27" s="37"/>
      <c r="H27" s="9"/>
      <c r="I27" s="9"/>
      <c r="J27" s="9"/>
    </row>
    <row r="28" spans="1:10" ht="12.75">
      <c r="A28" s="11" t="s">
        <v>12</v>
      </c>
      <c r="B28" s="29"/>
      <c r="C28" s="1">
        <v>200</v>
      </c>
      <c r="D28" s="1">
        <v>0</v>
      </c>
      <c r="E28" s="38" t="str">
        <f>IF(ISERROR(E34),"",IF(E34=3.5,"Doesn't Work","OK"))</f>
        <v>OK</v>
      </c>
      <c r="F28" s="1">
        <v>100</v>
      </c>
      <c r="G28" s="38" t="str">
        <f>IF(ISERROR(G34),"",IF(G34=3.5,"Doesn't Work","OK"))</f>
        <v>OK</v>
      </c>
      <c r="H28" s="9"/>
      <c r="I28" s="9"/>
      <c r="J28" s="9"/>
    </row>
    <row r="29" spans="2:10" ht="12.75">
      <c r="B29" s="30"/>
      <c r="E29" s="39"/>
      <c r="G29" s="39"/>
      <c r="H29" s="9"/>
      <c r="I29" s="9"/>
      <c r="J29" s="9"/>
    </row>
    <row r="30" spans="1:11" ht="12.75" hidden="1">
      <c r="A30" s="9" t="s">
        <v>3</v>
      </c>
      <c r="C30" s="4">
        <f>IF(C27=24,(C5*C11*(C28/1000)/2),IF(C27=26,(C6*C11*(C28/1000)/2),IF(C27=28,(C7*C11*(C28/1000)/2),0)))</f>
        <v>3.146000000000001</v>
      </c>
      <c r="D30" s="4">
        <f>IF(D27=24,(C5*C11*(D28/1000)/2),IF(D27=26,(C6*C11*(D28/1000)/2),IF(D27=28,(C7*C11*(D28/1000)/2),0)))</f>
        <v>0</v>
      </c>
      <c r="E30" s="5"/>
      <c r="F30" s="4">
        <f>IF(F27=24,(C5*C11*(F28/1000)/2),IF(F27=26,(C6*C11*(F28/1000)/2),IF(F27=28,(C7*C11*(F28/1000)/2),0)))</f>
        <v>2.2550000000000003</v>
      </c>
      <c r="G30" s="4"/>
      <c r="H30" s="4"/>
      <c r="I30" s="4"/>
      <c r="J30" s="4"/>
      <c r="K30" s="4"/>
    </row>
    <row r="31" spans="1:11" ht="12.75" hidden="1">
      <c r="A31" s="9" t="s">
        <v>4</v>
      </c>
      <c r="C31" s="4">
        <f>C30/2</f>
        <v>1.5730000000000004</v>
      </c>
      <c r="D31" s="4">
        <f>D30/2</f>
        <v>0</v>
      </c>
      <c r="F31" s="4">
        <f>F30/2</f>
        <v>1.1275000000000002</v>
      </c>
      <c r="G31" s="9"/>
      <c r="H31" s="4"/>
      <c r="I31" s="4"/>
      <c r="J31" s="4"/>
      <c r="K31" s="4"/>
    </row>
    <row r="32" spans="1:11" ht="12.75" hidden="1">
      <c r="A32" s="9" t="s">
        <v>5</v>
      </c>
      <c r="C32" s="4"/>
      <c r="D32" s="4"/>
      <c r="E32" s="4">
        <f>(C4-((C30+D30)*((E35/1000)+(G35/1000))))</f>
        <v>14.202456790037223</v>
      </c>
      <c r="F32" s="4"/>
      <c r="G32" s="4">
        <f>E32-(F30*((G35/1000)))</f>
        <v>13.911966664233434</v>
      </c>
      <c r="H32" s="4"/>
      <c r="I32" s="4"/>
      <c r="J32" s="4"/>
      <c r="K32" s="4"/>
    </row>
    <row r="33" spans="1:11" ht="12.75" hidden="1">
      <c r="A33" s="9" t="s">
        <v>6</v>
      </c>
      <c r="C33" s="10"/>
      <c r="D33" s="4"/>
      <c r="E33" s="4">
        <f>(C31+D31)*((E35/1000)+(G35/1000))</f>
        <v>0.39877160498138847</v>
      </c>
      <c r="F33" s="4"/>
      <c r="G33" s="4">
        <f>F31*((G35/1000))+E33</f>
        <v>0.5440166678832831</v>
      </c>
      <c r="H33" s="4"/>
      <c r="I33" s="4"/>
      <c r="J33" s="4"/>
      <c r="K33" s="4"/>
    </row>
    <row r="34" spans="1:11" ht="12.75" hidden="1">
      <c r="A34" s="9" t="s">
        <v>1</v>
      </c>
      <c r="C34" s="4"/>
      <c r="D34" s="4"/>
      <c r="E34" s="6">
        <f>IF(E32-E33&lt;=3.5,3.5,E32-E33)</f>
        <v>13.803685185055835</v>
      </c>
      <c r="F34" s="6"/>
      <c r="G34" s="6">
        <f>IF(G32-G33&lt;3.5,3.5,G32-G33)</f>
        <v>13.36794999635015</v>
      </c>
      <c r="H34" s="6"/>
      <c r="I34" s="6"/>
      <c r="J34" s="6"/>
      <c r="K34" s="6"/>
    </row>
    <row r="35" spans="1:11" ht="12.75" hidden="1">
      <c r="A35" s="9" t="s">
        <v>2</v>
      </c>
      <c r="C35" s="4"/>
      <c r="D35" s="4"/>
      <c r="E35" s="4">
        <f>IF(ISERROR(E34),120,100/SINH(E34/16)+22)</f>
        <v>124.6897834842317</v>
      </c>
      <c r="F35" s="6"/>
      <c r="G35" s="4">
        <f>IF(ISERROR(G34),120,100/SINH(G34/16)+22)</f>
        <v>128.82045490190205</v>
      </c>
      <c r="H35" s="6"/>
      <c r="I35" s="6"/>
      <c r="J35" s="6"/>
      <c r="K35" s="6"/>
    </row>
    <row r="36" spans="1:11" ht="12.75">
      <c r="A36" s="11" t="s">
        <v>17</v>
      </c>
      <c r="B36" s="11"/>
      <c r="C36" s="24">
        <f>IF(ISERROR(G34),"",IF(G34=3.5,"",E35+G35))</f>
        <v>253.51023838613375</v>
      </c>
      <c r="D36" s="4"/>
      <c r="E36" s="7"/>
      <c r="F36" s="6"/>
      <c r="G36" s="7"/>
      <c r="H36" s="6"/>
      <c r="I36" s="6"/>
      <c r="J36" s="6"/>
      <c r="K36" s="6"/>
    </row>
    <row r="37" spans="1:11" ht="26.25" customHeight="1">
      <c r="A37" s="3"/>
      <c r="B37" s="3"/>
      <c r="C37" s="4"/>
      <c r="D37" s="4"/>
      <c r="E37" s="7"/>
      <c r="F37" s="6"/>
      <c r="G37" s="7"/>
      <c r="H37" s="6"/>
      <c r="I37" s="6"/>
      <c r="J37" s="6"/>
      <c r="K37" s="6"/>
    </row>
    <row r="38" spans="1:11" ht="15.75">
      <c r="A38" s="8" t="s">
        <v>15</v>
      </c>
      <c r="B38" s="8"/>
      <c r="C38" s="4"/>
      <c r="D38" s="4"/>
      <c r="E38" s="4"/>
      <c r="F38" s="4"/>
      <c r="G38" s="4"/>
      <c r="H38" s="4"/>
      <c r="I38" s="4"/>
      <c r="J38" s="4"/>
      <c r="K38" s="4"/>
    </row>
    <row r="39" spans="2:10" ht="12.75">
      <c r="B39" s="27" t="s">
        <v>29</v>
      </c>
      <c r="C39" s="13" t="s">
        <v>34</v>
      </c>
      <c r="D39" s="13" t="s">
        <v>35</v>
      </c>
      <c r="E39" s="34" t="s">
        <v>8</v>
      </c>
      <c r="F39" s="13" t="s">
        <v>7</v>
      </c>
      <c r="G39" s="36" t="s">
        <v>9</v>
      </c>
      <c r="H39" s="13" t="s">
        <v>7</v>
      </c>
      <c r="I39" s="36" t="s">
        <v>10</v>
      </c>
      <c r="J39" s="9"/>
    </row>
    <row r="40" spans="1:10" ht="12.75">
      <c r="A40" s="11" t="s">
        <v>0</v>
      </c>
      <c r="B40" s="28"/>
      <c r="C40" s="2">
        <v>24</v>
      </c>
      <c r="D40" s="2">
        <v>24</v>
      </c>
      <c r="E40" s="35"/>
      <c r="F40" s="2">
        <v>26</v>
      </c>
      <c r="G40" s="37"/>
      <c r="H40" s="2">
        <v>26</v>
      </c>
      <c r="I40" s="37"/>
      <c r="J40" s="9"/>
    </row>
    <row r="41" spans="1:10" ht="12.75">
      <c r="A41" s="11" t="s">
        <v>12</v>
      </c>
      <c r="B41" s="29"/>
      <c r="C41" s="1">
        <v>200</v>
      </c>
      <c r="D41" s="1">
        <v>0</v>
      </c>
      <c r="E41" s="38" t="str">
        <f>IF(ISERROR(E47),"",IF(E47=3.5,"Doesn't Work","OK"))</f>
        <v>OK</v>
      </c>
      <c r="F41" s="1">
        <v>100</v>
      </c>
      <c r="G41" s="38" t="str">
        <f>IF(ISERROR(G47),"",IF(G47=3.5,"Doesn't Work","OK"))</f>
        <v>OK</v>
      </c>
      <c r="H41" s="1">
        <v>100</v>
      </c>
      <c r="I41" s="38" t="str">
        <f>IF(ISERROR(I47),"",IF(I47=3.5,"Doesn't Work","OK"))</f>
        <v>OK</v>
      </c>
      <c r="J41" s="9"/>
    </row>
    <row r="42" spans="2:10" ht="12.75">
      <c r="B42" s="30"/>
      <c r="E42" s="39"/>
      <c r="G42" s="39"/>
      <c r="I42" s="39"/>
      <c r="J42" s="9"/>
    </row>
    <row r="43" spans="1:11" ht="12.75" hidden="1">
      <c r="A43" s="9" t="s">
        <v>3</v>
      </c>
      <c r="C43" s="4">
        <f>IF(C40=24,(C5*C11*(C41/1000)/2),IF(C40=26,(C6*C11*(C41/1000)/2),IF(C40=28,(C7*C11*(C41/1000)/2),0)))</f>
        <v>3.146000000000001</v>
      </c>
      <c r="D43" s="4">
        <f>IF(D40=24,(C5*C11*(D41/1000)/2),IF(D40=26,(C6*C11*(D41/1000)/2),IF(D40=28,(C7*C11*(D41/1000)/2),0)))</f>
        <v>0</v>
      </c>
      <c r="E43" s="5"/>
      <c r="F43" s="4">
        <f>IF(F40=24,(C5*C11*(F41/1000)/2),IF(F40=26,(C6*C11*(F41/1000)/2),IF(F40=28,(C7*C11*(F41/1000)/2),0)))</f>
        <v>2.2550000000000003</v>
      </c>
      <c r="G43" s="4"/>
      <c r="H43" s="4">
        <f>IF(H40=24,(C5*C11*(H41/1000)/2),IF(H40=26,(C6*C11*(H41/1000)/2),IF(H40=28,(C7*C11*(H41/1000)/2),0)))</f>
        <v>2.2550000000000003</v>
      </c>
      <c r="I43" s="4"/>
      <c r="J43" s="4"/>
      <c r="K43" s="4"/>
    </row>
    <row r="44" spans="1:11" ht="12.75" hidden="1">
      <c r="A44" s="9" t="s">
        <v>4</v>
      </c>
      <c r="C44" s="4">
        <f>C43/2</f>
        <v>1.5730000000000004</v>
      </c>
      <c r="D44" s="4">
        <f>D43/2</f>
        <v>0</v>
      </c>
      <c r="F44" s="4">
        <f>F43/2</f>
        <v>1.1275000000000002</v>
      </c>
      <c r="G44" s="9"/>
      <c r="H44" s="4">
        <f>H43/2</f>
        <v>1.1275000000000002</v>
      </c>
      <c r="I44" s="9"/>
      <c r="J44" s="4"/>
      <c r="K44" s="4"/>
    </row>
    <row r="45" spans="1:11" ht="12.75" hidden="1">
      <c r="A45" s="9" t="s">
        <v>5</v>
      </c>
      <c r="C45" s="10"/>
      <c r="D45" s="4"/>
      <c r="E45" s="4">
        <f>(C4-((C43+D43)*((E48/1000)+(G48/1000)+(I48/1000))))</f>
        <v>13.65887743300331</v>
      </c>
      <c r="F45" s="4"/>
      <c r="G45" s="4">
        <f>E45-(F43*((G48/1000)+(I48/1000)))</f>
        <v>12.996665260133756</v>
      </c>
      <c r="H45" s="4"/>
      <c r="I45" s="4">
        <f>G45-(H43*((I48/1000)))</f>
        <v>12.65842335511445</v>
      </c>
      <c r="J45" s="4"/>
      <c r="K45" s="4"/>
    </row>
    <row r="46" spans="1:11" ht="12.75" hidden="1">
      <c r="A46" s="9" t="s">
        <v>6</v>
      </c>
      <c r="C46" s="4"/>
      <c r="D46" s="4"/>
      <c r="E46" s="4">
        <f>(C44+D44)*((E48/1000)+(G48/1000)+(I48/1000))</f>
        <v>0.6705612834983453</v>
      </c>
      <c r="F46" s="4"/>
      <c r="G46" s="4">
        <f>F44*((G48/1000)+(I48/1000))+E46</f>
        <v>1.0016673699331218</v>
      </c>
      <c r="H46" s="4"/>
      <c r="I46" s="4">
        <f>H44*((I48/1000))+G46</f>
        <v>1.1707883224427746</v>
      </c>
      <c r="J46" s="4"/>
      <c r="K46" s="4"/>
    </row>
    <row r="47" spans="1:11" ht="12.75" hidden="1">
      <c r="A47" s="9" t="s">
        <v>1</v>
      </c>
      <c r="C47" s="4"/>
      <c r="D47" s="4"/>
      <c r="E47" s="6">
        <f>IF(E45-E46&lt;=3.5,3.5,E45-E46)</f>
        <v>12.988316149504964</v>
      </c>
      <c r="F47" s="6"/>
      <c r="G47" s="6">
        <f>IF(G45-G46&lt;3.5,3.5,G45-G46)</f>
        <v>11.994997890200635</v>
      </c>
      <c r="H47" s="6"/>
      <c r="I47" s="6">
        <f>IF(I45-I46&lt;3.5,3.5,I45-I46)</f>
        <v>11.487635032671676</v>
      </c>
      <c r="J47" s="6"/>
      <c r="K47" s="6"/>
    </row>
    <row r="48" spans="1:11" ht="12.75" hidden="1">
      <c r="A48" s="9" t="s">
        <v>2</v>
      </c>
      <c r="C48" s="4"/>
      <c r="D48" s="4"/>
      <c r="E48" s="4">
        <f>IF(ISERROR(E47),120,100/SINH(E47/16)+22)</f>
        <v>132.63058749574287</v>
      </c>
      <c r="F48" s="6"/>
      <c r="G48" s="4">
        <f>IF(ISERROR(G47),120,100/SINH(G47/16)+22)</f>
        <v>143.66752454556405</v>
      </c>
      <c r="H48" s="6"/>
      <c r="I48" s="4">
        <f>IF(ISERROR(I47),120,100/SINH(I47/16)+22)</f>
        <v>149.9964102081178</v>
      </c>
      <c r="J48" s="6"/>
      <c r="K48" s="6"/>
    </row>
    <row r="49" spans="1:11" ht="12.75">
      <c r="A49" s="11" t="s">
        <v>17</v>
      </c>
      <c r="B49" s="11"/>
      <c r="C49" s="24">
        <f>IF(ISERROR(I47),"",IF(I47=3.5,"",E48+G48+I48))</f>
        <v>426.29452224942474</v>
      </c>
      <c r="D49" s="4"/>
      <c r="E49" s="7"/>
      <c r="F49" s="6"/>
      <c r="G49" s="7"/>
      <c r="H49" s="6"/>
      <c r="I49" s="7"/>
      <c r="J49" s="6"/>
      <c r="K49" s="6"/>
    </row>
    <row r="50" spans="1:11" ht="26.25" customHeight="1">
      <c r="A50" s="3"/>
      <c r="B50" s="3"/>
      <c r="C50" s="4"/>
      <c r="D50" s="4"/>
      <c r="E50" s="7"/>
      <c r="F50" s="6"/>
      <c r="G50" s="7"/>
      <c r="H50" s="6"/>
      <c r="I50" s="7"/>
      <c r="J50" s="6"/>
      <c r="K50" s="6"/>
    </row>
    <row r="51" spans="1:11" ht="15.75">
      <c r="A51" s="8" t="s">
        <v>16</v>
      </c>
      <c r="B51" s="8"/>
      <c r="D51" s="4"/>
      <c r="E51" s="4"/>
      <c r="F51" s="4"/>
      <c r="G51" s="4"/>
      <c r="H51" s="4"/>
      <c r="I51" s="4"/>
      <c r="J51" s="4"/>
      <c r="K51" s="4"/>
    </row>
    <row r="52" spans="2:11" ht="12.75">
      <c r="B52" s="27" t="s">
        <v>29</v>
      </c>
      <c r="C52" s="13" t="s">
        <v>34</v>
      </c>
      <c r="D52" s="13" t="s">
        <v>35</v>
      </c>
      <c r="E52" s="34" t="s">
        <v>8</v>
      </c>
      <c r="F52" s="13" t="s">
        <v>7</v>
      </c>
      <c r="G52" s="36" t="s">
        <v>9</v>
      </c>
      <c r="H52" s="13" t="s">
        <v>7</v>
      </c>
      <c r="I52" s="36" t="s">
        <v>10</v>
      </c>
      <c r="J52" s="13" t="s">
        <v>7</v>
      </c>
      <c r="K52" s="34" t="s">
        <v>11</v>
      </c>
    </row>
    <row r="53" spans="1:11" ht="12.75">
      <c r="A53" s="11" t="s">
        <v>0</v>
      </c>
      <c r="B53" s="28"/>
      <c r="C53" s="2">
        <v>24</v>
      </c>
      <c r="D53" s="2">
        <v>24</v>
      </c>
      <c r="E53" s="35"/>
      <c r="F53" s="2">
        <v>26</v>
      </c>
      <c r="G53" s="37"/>
      <c r="H53" s="2">
        <v>26</v>
      </c>
      <c r="I53" s="37"/>
      <c r="J53" s="2">
        <v>26</v>
      </c>
      <c r="K53" s="35"/>
    </row>
    <row r="54" spans="1:11" ht="12.75">
      <c r="A54" s="11" t="s">
        <v>12</v>
      </c>
      <c r="B54" s="29"/>
      <c r="C54" s="1">
        <v>100</v>
      </c>
      <c r="D54" s="1">
        <v>0</v>
      </c>
      <c r="E54" s="38" t="str">
        <f>IF(ISERROR(E60),"",IF(E60=3.5,"Doesn't Work","OK"))</f>
        <v>OK</v>
      </c>
      <c r="F54" s="1">
        <v>50</v>
      </c>
      <c r="G54" s="38" t="str">
        <f>IF(ISERROR(G60),"",IF(G60=3.5,"Doesn't Work","OK"))</f>
        <v>OK</v>
      </c>
      <c r="H54" s="1">
        <v>50</v>
      </c>
      <c r="I54" s="38" t="str">
        <f>IF(ISERROR(I60),"",IF(I60=3.5,"Doesn't Work","OK"))</f>
        <v>OK</v>
      </c>
      <c r="J54" s="1">
        <v>50</v>
      </c>
      <c r="K54" s="38" t="str">
        <f>IF(ISERROR(K60),"",IF(K60=3.5,"Doesn't Work","OK"))</f>
        <v>OK</v>
      </c>
    </row>
    <row r="55" spans="2:11" ht="12.75">
      <c r="B55" s="30"/>
      <c r="E55" s="39"/>
      <c r="G55" s="39"/>
      <c r="I55" s="39"/>
      <c r="K55" s="39"/>
    </row>
    <row r="56" spans="1:11" ht="12.75" hidden="1">
      <c r="A56" s="9" t="s">
        <v>3</v>
      </c>
      <c r="C56" s="4">
        <f>IF(C53=24,(C5*C11*(C54/1000)/2),IF(C53=26,(C6*C11*(C54/1000)/2),IF(C53=28,(C7*C11*(C54/1000)/2),0)))</f>
        <v>1.5730000000000004</v>
      </c>
      <c r="D56" s="4">
        <f>IF(D53=24,(C5*C11*(D54/1000)/2),IF(D53=26,(C6*C11*(D54/1000)/2),IF(D53=28,(C7*C11*(D54/1000)/2),0)))</f>
        <v>0</v>
      </c>
      <c r="E56" s="10"/>
      <c r="F56" s="4">
        <f>IF(F53=24,(C5*C11*(F54/1000)/2),IF(F53=26,(C6*C11*(F54/1000)/2),IF(F53=28,(C7*C11*(F54/1000)/2),0)))</f>
        <v>1.1275000000000002</v>
      </c>
      <c r="H56" s="4">
        <f>IF(H53=24,(C5*C11*(H54/1000)/2),IF(H53=26,(C6*C11*(H54/1000)/2),IF(H53=28,(C7*C11*(H54/1000)/2),0)))</f>
        <v>1.1275000000000002</v>
      </c>
      <c r="J56" s="4">
        <f>IF(J53=24,(C5*C11*(J54/1000)/2),IF(J53=26,(C6*C11*(J54/1000)/2),IF(J53=28,(C7*C11*(J54/1000)/2),0)))</f>
        <v>1.1275000000000002</v>
      </c>
      <c r="K56" s="4"/>
    </row>
    <row r="57" spans="1:10" ht="12.75" hidden="1">
      <c r="A57" s="9" t="s">
        <v>4</v>
      </c>
      <c r="C57" s="4">
        <f>C56/2</f>
        <v>0.7865000000000002</v>
      </c>
      <c r="D57" s="4">
        <f>D56/2</f>
        <v>0</v>
      </c>
      <c r="F57" s="4">
        <f>F56/2</f>
        <v>0.5637500000000001</v>
      </c>
      <c r="G57" s="9"/>
      <c r="H57" s="4">
        <f>H56/2</f>
        <v>0.5637500000000001</v>
      </c>
      <c r="I57" s="9"/>
      <c r="J57" s="4">
        <f>J56/2</f>
        <v>0.5637500000000001</v>
      </c>
    </row>
    <row r="58" spans="1:11" ht="12.75" hidden="1">
      <c r="A58" s="9" t="s">
        <v>5</v>
      </c>
      <c r="C58" s="4"/>
      <c r="D58" s="4"/>
      <c r="E58" s="4">
        <f>(C4-((C56+D56)*((E61/1000)+(G61/1000)+(I61/1000)+(K61/1000))))</f>
        <v>14.160328725719843</v>
      </c>
      <c r="F58" s="4"/>
      <c r="G58" s="4">
        <f>E58-(F56*((G61/1000)+(I61/1000)+(K61/1000)))</f>
        <v>13.699712475084509</v>
      </c>
      <c r="H58" s="4"/>
      <c r="I58" s="4">
        <f>G58-(H56*((I61/1000)+(K61/1000)))</f>
        <v>13.387928265975951</v>
      </c>
      <c r="J58" s="4"/>
      <c r="K58" s="4">
        <f>I58-(J56*(K61/1000))</f>
        <v>13.230553309888503</v>
      </c>
    </row>
    <row r="59" spans="1:11" ht="12.75" hidden="1">
      <c r="A59" s="9" t="s">
        <v>6</v>
      </c>
      <c r="C59" s="10"/>
      <c r="D59" s="4"/>
      <c r="E59" s="4">
        <f>(C57+D57)*((E61/1000)+(G61/1000)+(I61/1000)+(K61/1000))</f>
        <v>0.4198356371400788</v>
      </c>
      <c r="F59" s="4"/>
      <c r="G59" s="4">
        <f>F57*((G61/1000)+(I61/1000)+(K61/1000))+E59</f>
        <v>0.6501437624577465</v>
      </c>
      <c r="H59" s="4"/>
      <c r="I59" s="4">
        <f>H57*((I61/1000)+(K61/1000))+G59</f>
        <v>0.8060358670120253</v>
      </c>
      <c r="J59" s="4"/>
      <c r="K59" s="4">
        <f>J57*(K61/1000)+I59</f>
        <v>0.8847233450557492</v>
      </c>
    </row>
    <row r="60" spans="1:11" ht="12.75" hidden="1">
      <c r="A60" s="9" t="s">
        <v>1</v>
      </c>
      <c r="C60" s="4"/>
      <c r="D60" s="4"/>
      <c r="E60" s="6">
        <f>IF(E58-E59&lt;=3.5,3.5,E58-E59)</f>
        <v>13.740493088579765</v>
      </c>
      <c r="F60" s="6"/>
      <c r="G60" s="6">
        <f>IF(G58-G59&lt;3.5,3.5,G58-G59)</f>
        <v>13.049568712626762</v>
      </c>
      <c r="H60" s="6"/>
      <c r="I60" s="6">
        <f>IF(I58-I59&lt;3.5,3.5,I58-I59)</f>
        <v>12.581892398963927</v>
      </c>
      <c r="J60" s="6"/>
      <c r="K60" s="6">
        <f>IF(K58-K59&lt;3.5,3.5,K58-K59)</f>
        <v>12.345829964832754</v>
      </c>
    </row>
    <row r="61" spans="1:11" ht="12.75" hidden="1">
      <c r="A61" s="9" t="s">
        <v>2</v>
      </c>
      <c r="C61" s="4"/>
      <c r="D61" s="4"/>
      <c r="E61" s="4">
        <f>IF(ISERROR(E60),120,100/SINH(E60/16)+22)</f>
        <v>125.27361785198802</v>
      </c>
      <c r="F61" s="6"/>
      <c r="G61" s="4">
        <f>IF(ISERROR(G60),120,100/SINH(G60/16)+22)</f>
        <v>132.00177525244032</v>
      </c>
      <c r="H61" s="6"/>
      <c r="I61" s="4">
        <f>IF(ISERROR(I60),120,100/SINH(I60/16)+22)</f>
        <v>136.94829081487993</v>
      </c>
      <c r="J61" s="6"/>
      <c r="K61" s="4">
        <f>IF(ISERROR(K60),120,100/SINH(K60/16)+22)</f>
        <v>139.57861824952073</v>
      </c>
    </row>
    <row r="62" spans="1:10" ht="12.75">
      <c r="A62" s="11" t="s">
        <v>17</v>
      </c>
      <c r="B62" s="11"/>
      <c r="C62" s="24">
        <f>IF(ISERROR(K60),"",IF(K60=3.5,"",E61+G61+I61+K61))</f>
        <v>533.8023021688291</v>
      </c>
      <c r="D62" s="4"/>
      <c r="F62" s="4"/>
      <c r="G62" s="9"/>
      <c r="H62" s="4"/>
      <c r="I62" s="9"/>
      <c r="J62" s="4"/>
    </row>
    <row r="63" ht="12.75">
      <c r="K63" s="10"/>
    </row>
    <row r="64" spans="6:10" ht="12.75">
      <c r="F64" s="9"/>
      <c r="G64" s="9"/>
      <c r="H64" s="9"/>
      <c r="I64" s="9"/>
      <c r="J64" s="9"/>
    </row>
    <row r="65" spans="1:2" ht="12.75">
      <c r="A65" s="15" t="s">
        <v>33</v>
      </c>
      <c r="B65" s="10"/>
    </row>
    <row r="66" spans="1:10" ht="12.75">
      <c r="A66" s="10" t="s">
        <v>31</v>
      </c>
      <c r="F66" s="9"/>
      <c r="G66" s="9"/>
      <c r="H66" s="9"/>
      <c r="I66" s="9"/>
      <c r="J66" s="9"/>
    </row>
    <row r="67" spans="1:10" ht="12.75">
      <c r="A67" s="10" t="s">
        <v>32</v>
      </c>
      <c r="F67" s="9"/>
      <c r="G67" s="9"/>
      <c r="H67" s="9"/>
      <c r="I67" s="9"/>
      <c r="J67" s="9"/>
    </row>
    <row r="69" spans="5:10" ht="12.75">
      <c r="E69" s="16"/>
      <c r="F69" s="9"/>
      <c r="G69" s="9"/>
      <c r="H69" s="9"/>
      <c r="I69" s="9"/>
      <c r="J69" s="9"/>
    </row>
    <row r="71" spans="6:10" ht="12.75">
      <c r="F71" s="9"/>
      <c r="G71" s="9"/>
      <c r="H71" s="9"/>
      <c r="I71" s="9"/>
      <c r="J71" s="9"/>
    </row>
    <row r="72" spans="6:10" ht="12.75">
      <c r="F72" s="9"/>
      <c r="G72" s="9"/>
      <c r="H72" s="9"/>
      <c r="I72" s="9"/>
      <c r="J72" s="9"/>
    </row>
    <row r="73" spans="6:10" ht="12.75">
      <c r="F73" s="9"/>
      <c r="G73" s="9"/>
      <c r="H73" s="9"/>
      <c r="I73" s="9"/>
      <c r="J73" s="9"/>
    </row>
    <row r="75" spans="6:10" ht="12.75">
      <c r="F75" s="9"/>
      <c r="G75" s="9"/>
      <c r="H75" s="9"/>
      <c r="I75" s="9"/>
      <c r="J75" s="9"/>
    </row>
    <row r="76" spans="6:10" ht="12.75">
      <c r="F76" s="9"/>
      <c r="G76" s="9"/>
      <c r="H76" s="9"/>
      <c r="I76" s="9"/>
      <c r="J76" s="9"/>
    </row>
    <row r="77" spans="6:10" ht="12.75">
      <c r="F77" s="9"/>
      <c r="G77" s="9"/>
      <c r="H77" s="9"/>
      <c r="I77" s="9"/>
      <c r="J77" s="9"/>
    </row>
    <row r="78" spans="6:10" ht="12.75">
      <c r="F78" s="9"/>
      <c r="G78" s="9"/>
      <c r="H78" s="9"/>
      <c r="I78" s="9"/>
      <c r="J78" s="9"/>
    </row>
    <row r="79" spans="6:10" ht="12.75">
      <c r="F79" s="9"/>
      <c r="G79" s="9"/>
      <c r="H79" s="9"/>
      <c r="I79" s="9"/>
      <c r="J79" s="9"/>
    </row>
    <row r="80" spans="6:10" ht="12.75">
      <c r="F80" s="9"/>
      <c r="G80" s="9"/>
      <c r="H80" s="9"/>
      <c r="I80" s="9"/>
      <c r="J80" s="9"/>
    </row>
    <row r="81" spans="6:10" ht="12.75">
      <c r="F81" s="9"/>
      <c r="G81" s="9"/>
      <c r="H81" s="9"/>
      <c r="I81" s="9"/>
      <c r="J81" s="9"/>
    </row>
  </sheetData>
  <sheetProtection sheet="1" objects="1" scenarios="1" selectLockedCells="1"/>
  <mergeCells count="26">
    <mergeCell ref="K52:K53"/>
    <mergeCell ref="K54:K55"/>
    <mergeCell ref="E39:E40"/>
    <mergeCell ref="G39:G40"/>
    <mergeCell ref="I39:I40"/>
    <mergeCell ref="E41:E42"/>
    <mergeCell ref="G41:G42"/>
    <mergeCell ref="I52:I53"/>
    <mergeCell ref="I54:I55"/>
    <mergeCell ref="G54:G55"/>
    <mergeCell ref="G28:G29"/>
    <mergeCell ref="I41:I42"/>
    <mergeCell ref="G52:G53"/>
    <mergeCell ref="E15:E16"/>
    <mergeCell ref="E26:E27"/>
    <mergeCell ref="G26:G27"/>
    <mergeCell ref="E52:E53"/>
    <mergeCell ref="E28:E29"/>
    <mergeCell ref="B52:B55"/>
    <mergeCell ref="A8:E8"/>
    <mergeCell ref="B13:B16"/>
    <mergeCell ref="A12:C12"/>
    <mergeCell ref="E54:E55"/>
    <mergeCell ref="B26:B29"/>
    <mergeCell ref="B39:B42"/>
    <mergeCell ref="E13:E14"/>
  </mergeCells>
  <dataValidations count="2">
    <dataValidation type="whole" operator="greaterThanOrEqual" allowBlank="1" showErrorMessage="1" prompt="Cable Length" errorTitle="Error" error="Cable length must be a positive whole number starting at 0." sqref="C54:D54 F54 H54 J54 C41:D41 F41 H41 C28:D28 F28 C15:D15">
      <formula1>0</formula1>
    </dataValidation>
    <dataValidation type="list" showErrorMessage="1" prompt="Cable Guage" errorTitle="Error" error="Cable Gauge can only be 24, 26, or 28." sqref="C40:D40 F53 H53 J53 C27:D27 F40 H40 C53:D53 F27 C14:D14">
      <formula1>"24,26,28"</formula1>
    </dataValidation>
  </dataValidations>
  <printOptions/>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codeName="Sheet2"/>
  <dimension ref="P2:Q30"/>
  <sheetViews>
    <sheetView workbookViewId="0" topLeftCell="A1">
      <selection activeCell="A1" sqref="A1"/>
    </sheetView>
  </sheetViews>
  <sheetFormatPr defaultColWidth="9.140625" defaultRowHeight="12.75"/>
  <cols>
    <col min="1" max="15" width="9.140625" style="9" customWidth="1"/>
    <col min="16" max="17" width="12.8515625" style="9" customWidth="1"/>
    <col min="18" max="16384" width="9.140625" style="9" customWidth="1"/>
  </cols>
  <sheetData>
    <row r="2" spans="16:17" ht="12.75">
      <c r="P2" s="25" t="s">
        <v>28</v>
      </c>
      <c r="Q2" s="26" t="s">
        <v>27</v>
      </c>
    </row>
    <row r="3" spans="16:17" ht="12.75">
      <c r="P3" s="18">
        <v>3.5</v>
      </c>
      <c r="Q3" s="19">
        <v>677</v>
      </c>
    </row>
    <row r="4" spans="16:17" ht="12.75">
      <c r="P4" s="18">
        <v>4</v>
      </c>
      <c r="Q4" s="19">
        <v>480</v>
      </c>
    </row>
    <row r="5" spans="16:17" ht="12.75">
      <c r="P5" s="18">
        <v>4.5</v>
      </c>
      <c r="Q5" s="19">
        <v>415</v>
      </c>
    </row>
    <row r="6" spans="16:17" ht="12.75">
      <c r="P6" s="18">
        <v>5</v>
      </c>
      <c r="Q6" s="19">
        <v>365</v>
      </c>
    </row>
    <row r="7" spans="16:17" ht="12.75">
      <c r="P7" s="18">
        <v>5.5</v>
      </c>
      <c r="Q7" s="19">
        <v>326</v>
      </c>
    </row>
    <row r="8" spans="16:17" ht="12.75">
      <c r="P8" s="18">
        <v>6</v>
      </c>
      <c r="Q8" s="19">
        <v>292</v>
      </c>
    </row>
    <row r="9" spans="16:17" ht="12.75">
      <c r="P9" s="18">
        <v>6.5</v>
      </c>
      <c r="Q9" s="19">
        <v>266</v>
      </c>
    </row>
    <row r="10" spans="16:17" ht="12.75">
      <c r="P10" s="18">
        <v>7</v>
      </c>
      <c r="Q10" s="19">
        <v>246</v>
      </c>
    </row>
    <row r="11" spans="16:17" ht="12.75">
      <c r="P11" s="18">
        <v>7.5</v>
      </c>
      <c r="Q11" s="19">
        <v>228</v>
      </c>
    </row>
    <row r="12" spans="16:17" ht="12.75">
      <c r="P12" s="18">
        <v>8</v>
      </c>
      <c r="Q12" s="19">
        <v>213</v>
      </c>
    </row>
    <row r="13" spans="16:17" ht="12.75">
      <c r="P13" s="18">
        <v>8.5</v>
      </c>
      <c r="Q13" s="19">
        <v>200</v>
      </c>
    </row>
    <row r="14" spans="16:17" ht="12.75">
      <c r="P14" s="18">
        <v>9</v>
      </c>
      <c r="Q14" s="19">
        <v>189</v>
      </c>
    </row>
    <row r="15" spans="16:17" ht="12.75">
      <c r="P15" s="18">
        <v>9.5</v>
      </c>
      <c r="Q15" s="19">
        <v>179</v>
      </c>
    </row>
    <row r="16" spans="16:17" ht="12.75">
      <c r="P16" s="18">
        <v>10</v>
      </c>
      <c r="Q16" s="19">
        <v>168</v>
      </c>
    </row>
    <row r="17" spans="16:17" ht="12.75">
      <c r="P17" s="18">
        <v>10.5</v>
      </c>
      <c r="Q17" s="19">
        <v>161</v>
      </c>
    </row>
    <row r="18" spans="16:17" ht="12.75">
      <c r="P18" s="18">
        <v>11</v>
      </c>
      <c r="Q18" s="19">
        <v>153</v>
      </c>
    </row>
    <row r="19" spans="16:17" ht="12.75">
      <c r="P19" s="18">
        <v>11.5</v>
      </c>
      <c r="Q19" s="19">
        <v>147.5</v>
      </c>
    </row>
    <row r="20" spans="16:17" ht="12.75">
      <c r="P20" s="18">
        <v>12</v>
      </c>
      <c r="Q20" s="19">
        <v>141</v>
      </c>
    </row>
    <row r="21" spans="16:17" ht="12.75">
      <c r="P21" s="18">
        <v>12.5</v>
      </c>
      <c r="Q21" s="19">
        <v>136.5</v>
      </c>
    </row>
    <row r="22" spans="16:17" ht="12.75">
      <c r="P22" s="18">
        <v>13</v>
      </c>
      <c r="Q22" s="19">
        <v>132</v>
      </c>
    </row>
    <row r="23" spans="16:17" ht="12.75">
      <c r="P23" s="18">
        <v>13.5</v>
      </c>
      <c r="Q23" s="19">
        <v>127</v>
      </c>
    </row>
    <row r="24" spans="16:17" ht="12.75">
      <c r="P24" s="18">
        <v>14</v>
      </c>
      <c r="Q24" s="19">
        <v>124</v>
      </c>
    </row>
    <row r="25" spans="16:17" ht="12.75">
      <c r="P25" s="18">
        <v>14.5</v>
      </c>
      <c r="Q25" s="19">
        <v>120.5</v>
      </c>
    </row>
    <row r="26" spans="16:17" ht="12.75">
      <c r="P26" s="20">
        <v>15</v>
      </c>
      <c r="Q26" s="21">
        <v>117</v>
      </c>
    </row>
    <row r="28" ht="12.75">
      <c r="P28" s="15" t="s">
        <v>33</v>
      </c>
    </row>
    <row r="29" ht="12.75">
      <c r="P29" s="10" t="s">
        <v>31</v>
      </c>
    </row>
    <row r="30" ht="12.75">
      <c r="P30" s="10" t="s">
        <v>32</v>
      </c>
    </row>
  </sheetData>
  <sheetProtection sheet="1" objects="1" scenarios="1"/>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Symetrix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Swartz</dc:creator>
  <cp:keywords/>
  <dc:description/>
  <cp:lastModifiedBy>Jon Harris</cp:lastModifiedBy>
  <cp:lastPrinted>2002-01-18T18:45:51Z</cp:lastPrinted>
  <dcterms:created xsi:type="dcterms:W3CDTF">2002-01-15T16:08:28Z</dcterms:created>
  <dcterms:modified xsi:type="dcterms:W3CDTF">2002-04-26T17:12:57Z</dcterms:modified>
  <cp:category/>
  <cp:version/>
  <cp:contentType/>
  <cp:contentStatus/>
</cp:coreProperties>
</file>