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6950" windowHeight="8430" activeTab="0"/>
  </bookViews>
  <sheets>
    <sheet name="HSR-X216 REC Time" sheetId="1" r:id="rId1"/>
  </sheets>
  <definedNames>
    <definedName name="_xlnm.Print_Area" localSheetId="0">'HSR-X216 REC Time'!$A:$IV</definedName>
  </definedNames>
  <calcPr fullCalcOnLoad="1"/>
</workbook>
</file>

<file path=xl/sharedStrings.xml><?xml version="1.0" encoding="utf-8"?>
<sst xmlns="http://schemas.openxmlformats.org/spreadsheetml/2006/main" count="59" uniqueCount="31">
  <si>
    <t>1ch Hard Disk Recorder</t>
  </si>
  <si>
    <t>Picture Quality Mode、Refresh Rate VS Recording Time     [Unit：Hour]</t>
  </si>
  <si>
    <t>Transfer Rate : 1kB=1,024Byte</t>
  </si>
  <si>
    <t>(field/sec)</t>
  </si>
  <si>
    <t>LOW</t>
  </si>
  <si>
    <t>MID</t>
  </si>
  <si>
    <t>HIGH</t>
  </si>
  <si>
    <t>SUPER</t>
  </si>
  <si>
    <t>HYPER</t>
  </si>
  <si>
    <t xml:space="preserve">  (1GB=10e9Byte)</t>
  </si>
  <si>
    <t>CAPACITY</t>
  </si>
  <si>
    <t>USING</t>
  </si>
  <si>
    <t>REC Cycle
(sec/field)</t>
  </si>
  <si>
    <t>(Frame/sec)</t>
  </si>
  <si>
    <t>REC Cycle
(sec/Frame)</t>
  </si>
  <si>
    <t>Picture Quality</t>
  </si>
  <si>
    <t>1 CH</t>
  </si>
  <si>
    <t>Input</t>
  </si>
  <si>
    <t>REC Cycle</t>
  </si>
  <si>
    <t>NTSC</t>
  </si>
  <si>
    <t>NTSC/PAL    Recording Time</t>
  </si>
  <si>
    <t>PAL</t>
  </si>
  <si>
    <t>(Mode)</t>
  </si>
  <si>
    <r>
      <t>Analog</t>
    </r>
    <r>
      <rPr>
        <b/>
        <sz val="20"/>
        <rFont val="ＭＳ Ｐゴシック"/>
        <family val="3"/>
      </rPr>
      <t xml:space="preserve">
TLV</t>
    </r>
  </si>
  <si>
    <t>REC Cycle/ 1ch</t>
  </si>
  <si>
    <t>1.  HDD</t>
  </si>
  <si>
    <r>
      <t>2.</t>
    </r>
    <r>
      <rPr>
        <sz val="28"/>
        <rFont val="ＭＳ Ｐゴシック"/>
        <family val="3"/>
      </rPr>
      <t xml:space="preserve"> </t>
    </r>
    <r>
      <rPr>
        <b/>
        <sz val="16"/>
        <rFont val="ＭＳ Ｐゴシック"/>
        <family val="3"/>
      </rPr>
      <t>Normal Area</t>
    </r>
  </si>
  <si>
    <t>3. Channel</t>
  </si>
  <si>
    <t xml:space="preserve">In Program-Rec, a setup is impossible. </t>
  </si>
  <si>
    <t>In Normal-Rec (no Program-Rec), a setup is impossible.</t>
  </si>
  <si>
    <t xml:space="preserve">   AUDIO
  OFF   |   ( ON )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</si>
</sst>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\ &quot;kB&quot;"/>
    <numFmt numFmtId="181" formatCode="0\ &quot;GB&quot;"/>
    <numFmt numFmtId="182" formatCode="0\ &quot;kB&quot;"/>
    <numFmt numFmtId="183" formatCode="0\ &quot;kB/field&quot;"/>
    <numFmt numFmtId="184" formatCode="0\ &quot;Mbps&quot;"/>
    <numFmt numFmtId="185" formatCode="0.0\ &quot;Mbps&quot;"/>
    <numFmt numFmtId="186" formatCode="0.0_);[Red]\(0.0\)"/>
    <numFmt numFmtId="187" formatCode="0.0&quot;D&quot;"/>
    <numFmt numFmtId="188" formatCode="0.0_ "/>
    <numFmt numFmtId="189" formatCode="0.00_ "/>
    <numFmt numFmtId="190" formatCode="0.00_);[Red]\(0.00\)"/>
    <numFmt numFmtId="191" formatCode="0\ &quot;GB (1GB=10e9Byte)&quot;"/>
    <numFmt numFmtId="192" formatCode="0\ &quot;%&quot;"/>
    <numFmt numFmtId="193" formatCode="#\ ??/60"/>
    <numFmt numFmtId="194" formatCode="#,##0.0_);[Red]\(#,##0.0\)"/>
    <numFmt numFmtId="195" formatCode="#,##0_);[Red]\(#,##0\)"/>
    <numFmt numFmtId="196" formatCode="#\ ??/50"/>
    <numFmt numFmtId="197" formatCode="??/50"/>
    <numFmt numFmtId="198" formatCode="0_);[Red]\(0\)"/>
    <numFmt numFmtId="199" formatCode="??/60"/>
    <numFmt numFmtId="200" formatCode="\60/??"/>
    <numFmt numFmtId="201" formatCode="#\ \60/??"/>
    <numFmt numFmtId="202" formatCode="#\ /??"/>
    <numFmt numFmtId="203" formatCode="\60\ /#"/>
    <numFmt numFmtId="204" formatCode="\60/#"/>
    <numFmt numFmtId="205" formatCode="\60/?"/>
    <numFmt numFmtId="206" formatCode="yyyy/mm/dd"/>
    <numFmt numFmtId="207" formatCode="0_ "/>
    <numFmt numFmtId="208" formatCode="0\ &quot;Field&quot;"/>
    <numFmt numFmtId="209" formatCode="0\ &quot;Frame&quot;"/>
    <numFmt numFmtId="210" formatCode="0&quot;H Mode&quot;"/>
    <numFmt numFmtId="211" formatCode="0\ &quot;H&quot;"/>
    <numFmt numFmtId="212" formatCode="&quot;(&quot;0&quot;)&quot;"/>
    <numFmt numFmtId="213" formatCode="&quot;(&quot;0.00&quot;)&quot;"/>
    <numFmt numFmtId="214" formatCode="0&quot; (sec)&quot;"/>
    <numFmt numFmtId="215" formatCode="&quot;(&quot;\ 0\ &quot;)&quot;"/>
    <numFmt numFmtId="216" formatCode="&quot;( &quot;0&quot; fps)&quot;"/>
    <numFmt numFmtId="217" formatCode="&quot;(&quot;\ 0.0&quot; fps)&quot;"/>
    <numFmt numFmtId="218" formatCode="&quot;(&quot;\ 0.00&quot; fps)&quot;"/>
    <numFmt numFmtId="219" formatCode="&quot;(&quot;\ 0.00&quot; s)&quot;"/>
    <numFmt numFmtId="220" formatCode="\ 0.00&quot; s&quot;"/>
    <numFmt numFmtId="221" formatCode="\ 0&quot; s&quot;"/>
    <numFmt numFmtId="222" formatCode="&quot;(&quot;\ 0&quot; )&quot;"/>
    <numFmt numFmtId="223" formatCode="\ 0&quot; h&quot;"/>
    <numFmt numFmtId="224" formatCode="&quot;(&quot;\ 0&quot; h)&quot;"/>
    <numFmt numFmtId="225" formatCode="&quot;( &quot;0.0&quot; fps)&quot;"/>
    <numFmt numFmtId="226" formatCode="&quot;( &quot;0.00&quot; Fps)&quot;"/>
    <numFmt numFmtId="227" formatCode="&quot;( &quot;0.0&quot; Fps)&quot;"/>
    <numFmt numFmtId="228" formatCode="&quot;( &quot;0&quot; Fps)&quot;"/>
    <numFmt numFmtId="229" formatCode="\ 0.0&quot; h&quot;"/>
    <numFmt numFmtId="230" formatCode="&quot;(&quot;\ 0.0&quot; h)&quot;"/>
    <numFmt numFmtId="231" formatCode="0&quot;GB&quot;"/>
    <numFmt numFmtId="232" formatCode="0\ &quot;CH&quot;"/>
    <numFmt numFmtId="233" formatCode="&quot;( &quot;0.000&quot; Fps)&quot;"/>
    <numFmt numFmtId="234" formatCode="&quot;( &quot;0.00&quot; fps)&quot;"/>
    <numFmt numFmtId="235" formatCode="&quot;( &quot;0.000&quot; fps)&quot;"/>
    <numFmt numFmtId="236" formatCode="&quot;(&quot;\ 0.000&quot; fps)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i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28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8"/>
      <color indexed="14"/>
      <name val="ＭＳ Ｐゴシック"/>
      <family val="3"/>
    </font>
    <font>
      <sz val="26"/>
      <name val="ＭＳ Ｐゴシック"/>
      <family val="3"/>
    </font>
    <font>
      <b/>
      <sz val="26"/>
      <name val="ＭＳ Ｐゴシック"/>
      <family val="3"/>
    </font>
    <font>
      <sz val="17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9" fontId="0" fillId="0" borderId="0" xfId="0" applyNumberFormat="1" applyBorder="1" applyAlignment="1">
      <alignment/>
    </xf>
    <xf numFmtId="0" fontId="4" fillId="4" borderId="0" xfId="0" applyFont="1" applyFill="1" applyAlignment="1">
      <alignment/>
    </xf>
    <xf numFmtId="181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19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3" borderId="0" xfId="0" applyFont="1" applyFill="1" applyAlignment="1">
      <alignment/>
    </xf>
    <xf numFmtId="9" fontId="9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194" fontId="15" fillId="0" borderId="2" xfId="0" applyNumberFormat="1" applyFont="1" applyFill="1" applyBorder="1" applyAlignment="1">
      <alignment/>
    </xf>
    <xf numFmtId="223" fontId="15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 horizontal="center" wrapText="1"/>
    </xf>
    <xf numFmtId="220" fontId="15" fillId="0" borderId="3" xfId="0" applyNumberFormat="1" applyFont="1" applyFill="1" applyBorder="1" applyAlignment="1">
      <alignment/>
    </xf>
    <xf numFmtId="220" fontId="15" fillId="0" borderId="5" xfId="0" applyNumberFormat="1" applyFont="1" applyFill="1" applyBorder="1" applyAlignment="1">
      <alignment/>
    </xf>
    <xf numFmtId="221" fontId="15" fillId="0" borderId="3" xfId="0" applyNumberFormat="1" applyFont="1" applyFill="1" applyBorder="1" applyAlignment="1">
      <alignment/>
    </xf>
    <xf numFmtId="221" fontId="15" fillId="0" borderId="6" xfId="0" applyNumberFormat="1" applyFont="1" applyFill="1" applyBorder="1" applyAlignment="1">
      <alignment/>
    </xf>
    <xf numFmtId="218" fontId="15" fillId="0" borderId="2" xfId="0" applyNumberFormat="1" applyFont="1" applyFill="1" applyBorder="1" applyAlignment="1">
      <alignment/>
    </xf>
    <xf numFmtId="211" fontId="15" fillId="0" borderId="7" xfId="0" applyNumberFormat="1" applyFont="1" applyFill="1" applyBorder="1" applyAlignment="1">
      <alignment/>
    </xf>
    <xf numFmtId="211" fontId="15" fillId="0" borderId="8" xfId="0" applyNumberFormat="1" applyFont="1" applyFill="1" applyBorder="1" applyAlignment="1">
      <alignment/>
    </xf>
    <xf numFmtId="0" fontId="0" fillId="0" borderId="1" xfId="0" applyBorder="1" applyAlignment="1">
      <alignment horizontal="center" wrapText="1"/>
    </xf>
    <xf numFmtId="211" fontId="15" fillId="0" borderId="9" xfId="0" applyNumberFormat="1" applyFont="1" applyFill="1" applyBorder="1" applyAlignment="1">
      <alignment/>
    </xf>
    <xf numFmtId="211" fontId="15" fillId="0" borderId="10" xfId="0" applyNumberFormat="1" applyFont="1" applyFill="1" applyBorder="1" applyAlignment="1">
      <alignment/>
    </xf>
    <xf numFmtId="223" fontId="15" fillId="0" borderId="6" xfId="0" applyNumberFormat="1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220" fontId="15" fillId="0" borderId="13" xfId="0" applyNumberFormat="1" applyFont="1" applyFill="1" applyBorder="1" applyAlignment="1">
      <alignment/>
    </xf>
    <xf numFmtId="211" fontId="15" fillId="0" borderId="14" xfId="0" applyNumberFormat="1" applyFont="1" applyFill="1" applyBorder="1" applyAlignment="1">
      <alignment/>
    </xf>
    <xf numFmtId="223" fontId="15" fillId="0" borderId="13" xfId="0" applyNumberFormat="1" applyFont="1" applyFill="1" applyBorder="1" applyAlignment="1">
      <alignment/>
    </xf>
    <xf numFmtId="224" fontId="15" fillId="0" borderId="15" xfId="0" applyNumberFormat="1" applyFont="1" applyFill="1" applyBorder="1" applyAlignment="1">
      <alignment/>
    </xf>
    <xf numFmtId="224" fontId="15" fillId="0" borderId="2" xfId="0" applyNumberFormat="1" applyFont="1" applyFill="1" applyBorder="1" applyAlignment="1">
      <alignment/>
    </xf>
    <xf numFmtId="224" fontId="15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211" fontId="15" fillId="0" borderId="17" xfId="0" applyNumberFormat="1" applyFont="1" applyFill="1" applyBorder="1" applyAlignment="1">
      <alignment/>
    </xf>
    <xf numFmtId="223" fontId="15" fillId="0" borderId="5" xfId="0" applyNumberFormat="1" applyFont="1" applyFill="1" applyBorder="1" applyAlignment="1">
      <alignment/>
    </xf>
    <xf numFmtId="194" fontId="15" fillId="0" borderId="16" xfId="0" applyNumberFormat="1" applyFont="1" applyFill="1" applyBorder="1" applyAlignment="1">
      <alignment/>
    </xf>
    <xf numFmtId="194" fontId="15" fillId="0" borderId="18" xfId="0" applyNumberFormat="1" applyFont="1" applyFill="1" applyBorder="1" applyAlignment="1">
      <alignment/>
    </xf>
    <xf numFmtId="234" fontId="15" fillId="0" borderId="2" xfId="0" applyNumberFormat="1" applyFont="1" applyFill="1" applyBorder="1" applyAlignment="1">
      <alignment/>
    </xf>
    <xf numFmtId="235" fontId="15" fillId="0" borderId="2" xfId="0" applyNumberFormat="1" applyFont="1" applyFill="1" applyBorder="1" applyAlignment="1">
      <alignment/>
    </xf>
    <xf numFmtId="235" fontId="15" fillId="0" borderId="18" xfId="0" applyNumberFormat="1" applyFont="1" applyFill="1" applyBorder="1" applyAlignment="1">
      <alignment/>
    </xf>
    <xf numFmtId="0" fontId="17" fillId="0" borderId="0" xfId="0" applyFont="1" applyAlignment="1">
      <alignment/>
    </xf>
    <xf numFmtId="218" fontId="15" fillId="0" borderId="15" xfId="0" applyNumberFormat="1" applyFont="1" applyFill="1" applyBorder="1" applyAlignment="1">
      <alignment/>
    </xf>
    <xf numFmtId="234" fontId="15" fillId="0" borderId="15" xfId="0" applyNumberFormat="1" applyFont="1" applyFill="1" applyBorder="1" applyAlignment="1">
      <alignment/>
    </xf>
    <xf numFmtId="235" fontId="15" fillId="0" borderId="16" xfId="0" applyNumberFormat="1" applyFont="1" applyFill="1" applyBorder="1" applyAlignment="1">
      <alignment/>
    </xf>
    <xf numFmtId="181" fontId="18" fillId="0" borderId="1" xfId="0" applyNumberFormat="1" applyFont="1" applyBorder="1" applyAlignment="1">
      <alignment horizontal="center" vertical="center"/>
    </xf>
    <xf numFmtId="192" fontId="18" fillId="0" borderId="1" xfId="0" applyNumberFormat="1" applyFont="1" applyBorder="1" applyAlignment="1">
      <alignment horizontal="center" vertical="center" wrapText="1"/>
    </xf>
    <xf numFmtId="232" fontId="18" fillId="0" borderId="1" xfId="0" applyNumberFormat="1" applyFont="1" applyBorder="1" applyAlignment="1">
      <alignment horizontal="center" vertical="center"/>
    </xf>
    <xf numFmtId="220" fontId="15" fillId="5" borderId="13" xfId="0" applyNumberFormat="1" applyFont="1" applyFill="1" applyBorder="1" applyAlignment="1">
      <alignment/>
    </xf>
    <xf numFmtId="235" fontId="15" fillId="5" borderId="15" xfId="0" applyNumberFormat="1" applyFont="1" applyFill="1" applyBorder="1" applyAlignment="1">
      <alignment/>
    </xf>
    <xf numFmtId="220" fontId="15" fillId="5" borderId="3" xfId="0" applyNumberFormat="1" applyFont="1" applyFill="1" applyBorder="1" applyAlignment="1">
      <alignment/>
    </xf>
    <xf numFmtId="235" fontId="15" fillId="5" borderId="2" xfId="0" applyNumberFormat="1" applyFont="1" applyFill="1" applyBorder="1" applyAlignment="1">
      <alignment/>
    </xf>
    <xf numFmtId="220" fontId="15" fillId="5" borderId="5" xfId="0" applyNumberFormat="1" applyFont="1" applyFill="1" applyBorder="1" applyAlignment="1">
      <alignment/>
    </xf>
    <xf numFmtId="221" fontId="15" fillId="5" borderId="3" xfId="0" applyNumberFormat="1" applyFont="1" applyFill="1" applyBorder="1" applyAlignment="1">
      <alignment/>
    </xf>
    <xf numFmtId="221" fontId="15" fillId="5" borderId="6" xfId="0" applyNumberFormat="1" applyFont="1" applyFill="1" applyBorder="1" applyAlignment="1">
      <alignment/>
    </xf>
    <xf numFmtId="235" fontId="15" fillId="5" borderId="18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220" fontId="15" fillId="6" borderId="3" xfId="0" applyNumberFormat="1" applyFont="1" applyFill="1" applyBorder="1" applyAlignment="1">
      <alignment/>
    </xf>
    <xf numFmtId="235" fontId="15" fillId="6" borderId="2" xfId="0" applyNumberFormat="1" applyFont="1" applyFill="1" applyBorder="1" applyAlignment="1">
      <alignment/>
    </xf>
    <xf numFmtId="220" fontId="15" fillId="6" borderId="5" xfId="0" applyNumberFormat="1" applyFont="1" applyFill="1" applyBorder="1" applyAlignment="1">
      <alignment/>
    </xf>
    <xf numFmtId="235" fontId="15" fillId="6" borderId="16" xfId="0" applyNumberFormat="1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4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32" fontId="10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83" fontId="0" fillId="0" borderId="6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1" fontId="10" fillId="3" borderId="0" xfId="0" applyNumberFormat="1" applyFont="1" applyFill="1" applyAlignment="1">
      <alignment horizontal="center"/>
    </xf>
    <xf numFmtId="192" fontId="10" fillId="3" borderId="0" xfId="0" applyNumberFormat="1" applyFont="1" applyFill="1" applyAlignment="1">
      <alignment horizontal="center"/>
    </xf>
    <xf numFmtId="206" fontId="21" fillId="0" borderId="0" xfId="0" applyNumberFormat="1" applyFont="1" applyAlignment="1">
      <alignment horizontal="center"/>
    </xf>
    <xf numFmtId="185" fontId="0" fillId="0" borderId="4" xfId="0" applyNumberFormat="1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7" fillId="7" borderId="1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83" fontId="0" fillId="0" borderId="28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5" width="11.625" style="0" customWidth="1"/>
    <col min="6" max="6" width="10.625" style="0" customWidth="1"/>
    <col min="7" max="9" width="9.625" style="0" customWidth="1"/>
    <col min="10" max="16" width="8.625" style="0" customWidth="1"/>
    <col min="18" max="21" width="11.625" style="0" customWidth="1"/>
    <col min="23" max="23" width="9.625" style="0" customWidth="1"/>
    <col min="25" max="25" width="9.625" style="0" customWidth="1"/>
  </cols>
  <sheetData>
    <row r="1" ht="14.25" thickBot="1"/>
    <row r="2" spans="2:20" ht="39.75" customHeight="1" thickBot="1">
      <c r="B2" s="109" t="s">
        <v>19</v>
      </c>
      <c r="C2" s="110"/>
      <c r="D2" s="111"/>
      <c r="E2" s="16"/>
      <c r="G2" s="17"/>
      <c r="H2" s="18"/>
      <c r="I2" s="18"/>
      <c r="J2" s="19" t="s">
        <v>20</v>
      </c>
      <c r="R2" s="109" t="s">
        <v>21</v>
      </c>
      <c r="S2" s="112"/>
      <c r="T2" s="113"/>
    </row>
    <row r="3" ht="14.25" thickBot="1"/>
    <row r="4" spans="2:15" ht="39.75" customHeight="1" thickBot="1">
      <c r="B4" s="82" t="s">
        <v>25</v>
      </c>
      <c r="C4" s="83"/>
      <c r="D4" s="60">
        <v>320</v>
      </c>
      <c r="E4" s="16"/>
      <c r="F4" s="20" t="s">
        <v>10</v>
      </c>
      <c r="G4" s="5"/>
      <c r="H4" s="20"/>
      <c r="I4" s="5"/>
      <c r="J4" s="98">
        <f>D4</f>
        <v>320</v>
      </c>
      <c r="K4" s="98"/>
      <c r="L4" s="20" t="s">
        <v>9</v>
      </c>
      <c r="M4" s="5"/>
      <c r="N4" s="5"/>
      <c r="O4" s="5"/>
    </row>
    <row r="5" spans="2:15" ht="39.75" customHeight="1" thickBot="1">
      <c r="B5" s="84" t="s">
        <v>26</v>
      </c>
      <c r="C5" s="85"/>
      <c r="D5" s="61">
        <v>99</v>
      </c>
      <c r="E5" s="16"/>
      <c r="F5" s="21" t="s">
        <v>11</v>
      </c>
      <c r="G5" s="5"/>
      <c r="H5" s="99">
        <f>D5</f>
        <v>99</v>
      </c>
      <c r="I5" s="99"/>
      <c r="J5" s="98">
        <f>J4*H5/100</f>
        <v>316.8</v>
      </c>
      <c r="K5" s="98"/>
      <c r="L5" s="20" t="s">
        <v>9</v>
      </c>
      <c r="M5" s="20"/>
      <c r="N5" s="5"/>
      <c r="O5" s="5"/>
    </row>
    <row r="6" spans="2:17" ht="30" customHeight="1" thickBot="1">
      <c r="B6" s="82" t="s">
        <v>27</v>
      </c>
      <c r="C6" s="83"/>
      <c r="D6" s="62">
        <v>16</v>
      </c>
      <c r="F6" s="22"/>
      <c r="G6" s="5"/>
      <c r="H6" s="5"/>
      <c r="I6" s="5"/>
      <c r="J6" s="23" t="s">
        <v>2</v>
      </c>
      <c r="K6" s="5"/>
      <c r="L6" s="5"/>
      <c r="M6" s="5"/>
      <c r="N6" s="5"/>
      <c r="O6" s="5"/>
      <c r="Q6" s="12"/>
    </row>
    <row r="7" ht="21">
      <c r="J7" s="15"/>
    </row>
    <row r="8" spans="2:8" ht="14.25">
      <c r="B8" s="7" t="s">
        <v>0</v>
      </c>
      <c r="C8" s="7"/>
      <c r="D8" s="7"/>
      <c r="E8" s="7"/>
      <c r="F8" s="8"/>
      <c r="G8" s="9"/>
      <c r="H8" s="9"/>
    </row>
    <row r="9" spans="2:16" ht="18" thickBot="1">
      <c r="B9" s="3" t="s">
        <v>1</v>
      </c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32" ht="19.5" customHeight="1" thickBot="1">
      <c r="B10" s="88" t="s">
        <v>16</v>
      </c>
      <c r="C10" s="90" t="s">
        <v>17</v>
      </c>
      <c r="D10" s="92">
        <f>$D$6</f>
        <v>16</v>
      </c>
      <c r="E10" s="90" t="s">
        <v>17</v>
      </c>
      <c r="F10" s="103" t="s">
        <v>23</v>
      </c>
      <c r="G10" s="106" t="s">
        <v>15</v>
      </c>
      <c r="H10" s="107"/>
      <c r="I10" s="107"/>
      <c r="J10" s="107"/>
      <c r="K10" s="107"/>
      <c r="L10" s="107"/>
      <c r="M10" s="107"/>
      <c r="N10" s="107"/>
      <c r="O10" s="107"/>
      <c r="P10" s="108"/>
      <c r="R10" s="88" t="s">
        <v>16</v>
      </c>
      <c r="S10" s="90" t="s">
        <v>17</v>
      </c>
      <c r="T10" s="92">
        <f>$D$6</f>
        <v>16</v>
      </c>
      <c r="U10" s="90" t="s">
        <v>17</v>
      </c>
      <c r="V10" s="103" t="s">
        <v>23</v>
      </c>
      <c r="W10" s="106" t="s">
        <v>15</v>
      </c>
      <c r="X10" s="107"/>
      <c r="Y10" s="107"/>
      <c r="Z10" s="107"/>
      <c r="AA10" s="107"/>
      <c r="AB10" s="107"/>
      <c r="AC10" s="107"/>
      <c r="AD10" s="107"/>
      <c r="AE10" s="107"/>
      <c r="AF10" s="108"/>
    </row>
    <row r="11" spans="2:32" s="1" customFormat="1" ht="19.5" customHeight="1">
      <c r="B11" s="89"/>
      <c r="C11" s="91"/>
      <c r="D11" s="93"/>
      <c r="E11" s="91"/>
      <c r="F11" s="104"/>
      <c r="G11" s="96" t="s">
        <v>4</v>
      </c>
      <c r="H11" s="97"/>
      <c r="I11" s="96" t="s">
        <v>5</v>
      </c>
      <c r="J11" s="97"/>
      <c r="K11" s="96" t="s">
        <v>6</v>
      </c>
      <c r="L11" s="97"/>
      <c r="M11" s="96" t="s">
        <v>7</v>
      </c>
      <c r="N11" s="97"/>
      <c r="O11" s="96" t="s">
        <v>8</v>
      </c>
      <c r="P11" s="97"/>
      <c r="R11" s="89"/>
      <c r="S11" s="91"/>
      <c r="T11" s="93"/>
      <c r="U11" s="91"/>
      <c r="V11" s="104"/>
      <c r="W11" s="96" t="s">
        <v>4</v>
      </c>
      <c r="X11" s="97"/>
      <c r="Y11" s="96" t="s">
        <v>5</v>
      </c>
      <c r="Z11" s="97"/>
      <c r="AA11" s="96" t="s">
        <v>6</v>
      </c>
      <c r="AB11" s="97"/>
      <c r="AC11" s="96" t="s">
        <v>7</v>
      </c>
      <c r="AD11" s="97"/>
      <c r="AE11" s="96" t="s">
        <v>8</v>
      </c>
      <c r="AF11" s="97"/>
    </row>
    <row r="12" spans="2:32" ht="19.5" customHeight="1" thickBot="1">
      <c r="B12" s="86" t="s">
        <v>18</v>
      </c>
      <c r="C12" s="87"/>
      <c r="D12" s="86" t="s">
        <v>24</v>
      </c>
      <c r="E12" s="87"/>
      <c r="F12" s="105"/>
      <c r="G12" s="94">
        <v>17</v>
      </c>
      <c r="H12" s="95"/>
      <c r="I12" s="94">
        <v>24</v>
      </c>
      <c r="J12" s="95"/>
      <c r="K12" s="94">
        <v>32</v>
      </c>
      <c r="L12" s="95"/>
      <c r="M12" s="94">
        <v>44</v>
      </c>
      <c r="N12" s="95"/>
      <c r="O12" s="94">
        <v>52</v>
      </c>
      <c r="P12" s="95"/>
      <c r="Q12" s="2"/>
      <c r="R12" s="86" t="s">
        <v>18</v>
      </c>
      <c r="S12" s="87"/>
      <c r="T12" s="86" t="s">
        <v>24</v>
      </c>
      <c r="U12" s="87"/>
      <c r="V12" s="105"/>
      <c r="W12" s="94">
        <v>17</v>
      </c>
      <c r="X12" s="95"/>
      <c r="Y12" s="94">
        <v>24</v>
      </c>
      <c r="Z12" s="95"/>
      <c r="AA12" s="114">
        <v>32</v>
      </c>
      <c r="AB12" s="115"/>
      <c r="AC12" s="114">
        <v>44</v>
      </c>
      <c r="AD12" s="115"/>
      <c r="AE12" s="114">
        <v>52</v>
      </c>
      <c r="AF12" s="115"/>
    </row>
    <row r="13" spans="2:32" ht="34.5" customHeight="1" thickBot="1">
      <c r="B13" s="28" t="s">
        <v>12</v>
      </c>
      <c r="C13" s="36" t="s">
        <v>3</v>
      </c>
      <c r="D13" s="41" t="s">
        <v>14</v>
      </c>
      <c r="E13" s="71" t="s">
        <v>13</v>
      </c>
      <c r="F13" s="40" t="s">
        <v>22</v>
      </c>
      <c r="G13" s="101" t="s">
        <v>30</v>
      </c>
      <c r="H13" s="102"/>
      <c r="I13" s="101" t="s">
        <v>30</v>
      </c>
      <c r="J13" s="102"/>
      <c r="K13" s="101" t="s">
        <v>30</v>
      </c>
      <c r="L13" s="102"/>
      <c r="M13" s="101" t="s">
        <v>30</v>
      </c>
      <c r="N13" s="102"/>
      <c r="O13" s="101" t="s">
        <v>30</v>
      </c>
      <c r="P13" s="102"/>
      <c r="Q13" s="2"/>
      <c r="R13" s="28" t="s">
        <v>12</v>
      </c>
      <c r="S13" s="36" t="s">
        <v>3</v>
      </c>
      <c r="T13" s="28" t="s">
        <v>14</v>
      </c>
      <c r="U13" s="10" t="s">
        <v>13</v>
      </c>
      <c r="V13" s="40" t="s">
        <v>22</v>
      </c>
      <c r="W13" s="101" t="s">
        <v>30</v>
      </c>
      <c r="X13" s="102"/>
      <c r="Y13" s="101" t="s">
        <v>30</v>
      </c>
      <c r="Z13" s="102"/>
      <c r="AA13" s="101" t="s">
        <v>30</v>
      </c>
      <c r="AB13" s="102"/>
      <c r="AC13" s="101" t="s">
        <v>30</v>
      </c>
      <c r="AD13" s="102"/>
      <c r="AE13" s="101" t="s">
        <v>30</v>
      </c>
      <c r="AF13" s="102"/>
    </row>
    <row r="14" spans="1:35" ht="30" customHeight="1">
      <c r="A14" s="56"/>
      <c r="B14" s="42">
        <f aca="true" t="shared" si="0" ref="B14:B45">1/C14</f>
        <v>0.016666666666666666</v>
      </c>
      <c r="C14" s="57">
        <f>60/1</f>
        <v>60</v>
      </c>
      <c r="D14" s="63">
        <f aca="true" t="shared" si="1" ref="D14:D45">1/E14</f>
        <v>0.26666666666666666</v>
      </c>
      <c r="E14" s="64">
        <f aca="true" t="shared" si="2" ref="E14:E45">C14/$D$6</f>
        <v>3.75</v>
      </c>
      <c r="F14" s="43">
        <f aca="true" t="shared" si="3" ref="F14:F45">60/C14*2</f>
        <v>2</v>
      </c>
      <c r="G14" s="44">
        <f aca="true" t="shared" si="4" ref="G14:G45">$J$5*1000*1000/(G$12*1.024)/$C14/3600</f>
        <v>84.25245098039215</v>
      </c>
      <c r="H14" s="45">
        <f>$J$5*1000*1000/((G$12+1)*1.024)/$C14/3600</f>
        <v>79.57175925925924</v>
      </c>
      <c r="I14" s="44">
        <f aca="true" t="shared" si="5" ref="I14:I45">$J$5*1000*1000/(I$12*1.024)/$C14/3600</f>
        <v>59.67881944444444</v>
      </c>
      <c r="J14" s="45">
        <f>$J$5*1000*1000/((I$12+1)*1.024)/$C14/3600</f>
        <v>57.291666666666664</v>
      </c>
      <c r="K14" s="44">
        <f aca="true" t="shared" si="6" ref="K14:K45">$J$5*1000*1000/(K$12*1.024)/$C14/3600</f>
        <v>44.759114583333336</v>
      </c>
      <c r="L14" s="45">
        <f>$J$5*1000*1000/((K$12+1)*1.024)/$C14/3600</f>
        <v>43.40277777777778</v>
      </c>
      <c r="M14" s="44">
        <f aca="true" t="shared" si="7" ref="M14:M45">$J$5*1000*1000/(M$12*1.024)/$C14/3600</f>
        <v>32.552083333333336</v>
      </c>
      <c r="N14" s="45">
        <f>$J$5*1000*1000/((M$12+1)*1.024)/$C14/3600</f>
        <v>31.828703703703702</v>
      </c>
      <c r="O14" s="44">
        <f aca="true" t="shared" si="8" ref="O14:O45">$J$5*1000*1000/(O$12*1.024)/$C14/3600</f>
        <v>27.544070512820507</v>
      </c>
      <c r="P14" s="45">
        <f>$J$5*1000*1000/((O$12+1)*1.024)/$C14/3600</f>
        <v>27.024371069182394</v>
      </c>
      <c r="Q14" s="48"/>
      <c r="R14" s="42">
        <f aca="true" t="shared" si="9" ref="R14:R45">1/S14</f>
        <v>0.02</v>
      </c>
      <c r="S14" s="58">
        <f>50/1</f>
        <v>50</v>
      </c>
      <c r="T14" s="63">
        <f aca="true" t="shared" si="10" ref="T14:T45">1/U14</f>
        <v>0.32</v>
      </c>
      <c r="U14" s="64">
        <f aca="true" t="shared" si="11" ref="U14:U45">S14/$D$6</f>
        <v>3.125</v>
      </c>
      <c r="V14" s="49">
        <f aca="true" t="shared" si="12" ref="V14:V45">50/S14*3</f>
        <v>3</v>
      </c>
      <c r="W14" s="44">
        <f aca="true" t="shared" si="13" ref="W14:W45">$J$5*1000*1000/(W$12*1.024)/$S14/3600</f>
        <v>101.10294117647058</v>
      </c>
      <c r="X14" s="45">
        <f>$J$5*1000*1000/((W$12+1)*1.024)/$S14/3600</f>
        <v>95.4861111111111</v>
      </c>
      <c r="Y14" s="44">
        <f aca="true" t="shared" si="14" ref="Y14:Y45">$J$5*1000*1000/(Y$12*1.024)/$S14/3600</f>
        <v>71.61458333333333</v>
      </c>
      <c r="Z14" s="45">
        <f>$J$5*1000*1000/((Y$12+1)*1.024)/$S14/3600</f>
        <v>68.75</v>
      </c>
      <c r="AA14" s="44">
        <f aca="true" t="shared" si="15" ref="AA14:AA45">$J$5*1000*1000/(AA$12*1.024)/$S14/3600</f>
        <v>53.7109375</v>
      </c>
      <c r="AB14" s="45">
        <f>$J$5*1000*1000/((AA$12+1)*1.024)/$S14/3600</f>
        <v>52.083333333333336</v>
      </c>
      <c r="AC14" s="44">
        <f aca="true" t="shared" si="16" ref="AC14:AC45">$J$5*1000*1000/(AC$12*1.024)/$S14/3600</f>
        <v>39.0625</v>
      </c>
      <c r="AD14" s="45">
        <f>$J$5*1000*1000/((AC$12+1)*1.024)/$S14/3600</f>
        <v>38.19444444444444</v>
      </c>
      <c r="AE14" s="44">
        <f aca="true" t="shared" si="17" ref="AE14:AE45">$J$5*1000*1000/(AE$12*1.024)/$S14/3600</f>
        <v>33.05288461538461</v>
      </c>
      <c r="AF14" s="45">
        <f>$J$5*1000*1000/((AE$12+1)*1.024)/$S14/3600</f>
        <v>32.42924528301887</v>
      </c>
      <c r="AG14" s="48"/>
      <c r="AH14" s="48"/>
      <c r="AI14" s="48"/>
    </row>
    <row r="15" spans="1:35" ht="30" customHeight="1">
      <c r="A15" s="56"/>
      <c r="B15" s="29">
        <f t="shared" si="0"/>
        <v>0.03333333333333333</v>
      </c>
      <c r="C15" s="33">
        <f>60/2</f>
        <v>30</v>
      </c>
      <c r="D15" s="29">
        <f t="shared" si="1"/>
        <v>0.5333333333333333</v>
      </c>
      <c r="E15" s="54">
        <f t="shared" si="2"/>
        <v>1.875</v>
      </c>
      <c r="F15" s="34">
        <f t="shared" si="3"/>
        <v>4</v>
      </c>
      <c r="G15" s="27">
        <f t="shared" si="4"/>
        <v>168.5049019607843</v>
      </c>
      <c r="H15" s="46">
        <f>$J$5*1000*1000/((G$12+1)*1.024)/$C15/3600</f>
        <v>159.14351851851848</v>
      </c>
      <c r="I15" s="27">
        <f t="shared" si="5"/>
        <v>119.35763888888889</v>
      </c>
      <c r="J15" s="46">
        <f>$J$5*1000*1000/((I$12+1)*1.024)/$C15/3600</f>
        <v>114.58333333333333</v>
      </c>
      <c r="K15" s="27">
        <f t="shared" si="6"/>
        <v>89.51822916666667</v>
      </c>
      <c r="L15" s="46">
        <f>$J$5*1000*1000/((K$12+1)*1.024)/$C15/3600</f>
        <v>86.80555555555556</v>
      </c>
      <c r="M15" s="27">
        <f t="shared" si="7"/>
        <v>65.10416666666667</v>
      </c>
      <c r="N15" s="46">
        <f>$J$5*1000*1000/((M$12+1)*1.024)/$C15/3600</f>
        <v>63.657407407407405</v>
      </c>
      <c r="O15" s="27">
        <f t="shared" si="8"/>
        <v>55.088141025641015</v>
      </c>
      <c r="P15" s="46">
        <f>$J$5*1000*1000/((O$12+1)*1.024)/$C15/3600</f>
        <v>54.04874213836479</v>
      </c>
      <c r="Q15" s="48"/>
      <c r="R15" s="29">
        <f t="shared" si="9"/>
        <v>0.04</v>
      </c>
      <c r="S15" s="53">
        <f>50/2</f>
        <v>25</v>
      </c>
      <c r="T15" s="29">
        <f t="shared" si="10"/>
        <v>0.64</v>
      </c>
      <c r="U15" s="54">
        <f t="shared" si="11"/>
        <v>1.5625</v>
      </c>
      <c r="V15" s="37">
        <f t="shared" si="12"/>
        <v>6</v>
      </c>
      <c r="W15" s="27">
        <f t="shared" si="13"/>
        <v>202.20588235294116</v>
      </c>
      <c r="X15" s="46">
        <f>$J$5*1000*1000/((W$12+1)*1.024)/$S15/3600</f>
        <v>190.9722222222222</v>
      </c>
      <c r="Y15" s="27">
        <f t="shared" si="14"/>
        <v>143.22916666666666</v>
      </c>
      <c r="Z15" s="46">
        <f>$J$5*1000*1000/((Y$12+1)*1.024)/$S15/3600</f>
        <v>137.5</v>
      </c>
      <c r="AA15" s="27">
        <f t="shared" si="15"/>
        <v>107.421875</v>
      </c>
      <c r="AB15" s="46">
        <f>$J$5*1000*1000/((AA$12+1)*1.024)/$S15/3600</f>
        <v>104.16666666666667</v>
      </c>
      <c r="AC15" s="27">
        <f t="shared" si="16"/>
        <v>78.125</v>
      </c>
      <c r="AD15" s="46">
        <f>$J$5*1000*1000/((AC$12+1)*1.024)/$S15/3600</f>
        <v>76.38888888888889</v>
      </c>
      <c r="AE15" s="27">
        <f t="shared" si="17"/>
        <v>66.10576923076923</v>
      </c>
      <c r="AF15" s="46">
        <f>$J$5*1000*1000/((AE$12+1)*1.024)/$S15/3600</f>
        <v>64.85849056603774</v>
      </c>
      <c r="AG15" s="48"/>
      <c r="AH15" s="48"/>
      <c r="AI15" s="48"/>
    </row>
    <row r="16" spans="1:35" ht="30" customHeight="1">
      <c r="A16" s="56"/>
      <c r="B16" s="29">
        <f t="shared" si="0"/>
        <v>0.05</v>
      </c>
      <c r="C16" s="33">
        <f>60/3</f>
        <v>20</v>
      </c>
      <c r="D16" s="65">
        <f t="shared" si="1"/>
        <v>0.8</v>
      </c>
      <c r="E16" s="66">
        <f t="shared" si="2"/>
        <v>1.25</v>
      </c>
      <c r="F16" s="34">
        <f t="shared" si="3"/>
        <v>6</v>
      </c>
      <c r="G16" s="27">
        <f t="shared" si="4"/>
        <v>252.75735294117644</v>
      </c>
      <c r="H16" s="46">
        <f>$J$5*1000*1000/((G$12+1)*1.024)/$C16/3600</f>
        <v>238.71527777777771</v>
      </c>
      <c r="I16" s="27">
        <f t="shared" si="5"/>
        <v>179.03645833333334</v>
      </c>
      <c r="J16" s="46">
        <f>$J$5*1000*1000/((I$12+1)*1.024)/$C16/3600</f>
        <v>171.875</v>
      </c>
      <c r="K16" s="27">
        <f t="shared" si="6"/>
        <v>134.27734375</v>
      </c>
      <c r="L16" s="46">
        <f>$J$5*1000*1000/((K$12+1)*1.024)/$C16/3600</f>
        <v>130.20833333333334</v>
      </c>
      <c r="M16" s="27">
        <f t="shared" si="7"/>
        <v>97.65625</v>
      </c>
      <c r="N16" s="46">
        <f>$J$5*1000*1000/((M$12+1)*1.024)/$C16/3600</f>
        <v>95.48611111111111</v>
      </c>
      <c r="O16" s="27">
        <f t="shared" si="8"/>
        <v>82.63221153846153</v>
      </c>
      <c r="P16" s="46">
        <f>$J$5*1000*1000/((O$12+1)*1.024)/$C16/3600</f>
        <v>81.07311320754717</v>
      </c>
      <c r="Q16" s="48"/>
      <c r="R16" s="29">
        <f t="shared" si="9"/>
        <v>0.06</v>
      </c>
      <c r="S16" s="53">
        <f>50/3</f>
        <v>16.666666666666668</v>
      </c>
      <c r="T16" s="65">
        <f t="shared" si="10"/>
        <v>0.96</v>
      </c>
      <c r="U16" s="66">
        <f t="shared" si="11"/>
        <v>1.0416666666666667</v>
      </c>
      <c r="V16" s="37">
        <f t="shared" si="12"/>
        <v>9</v>
      </c>
      <c r="W16" s="27">
        <f t="shared" si="13"/>
        <v>303.3088235294117</v>
      </c>
      <c r="X16" s="46">
        <f>$J$5*1000*1000/((W$12+1)*1.024)/$S16/3600</f>
        <v>286.45833333333326</v>
      </c>
      <c r="Y16" s="27">
        <f t="shared" si="14"/>
        <v>214.84375</v>
      </c>
      <c r="Z16" s="46">
        <f>$J$5*1000*1000/((Y$12+1)*1.024)/$S16/3600</f>
        <v>206.25</v>
      </c>
      <c r="AA16" s="27">
        <f t="shared" si="15"/>
        <v>161.1328125</v>
      </c>
      <c r="AB16" s="46">
        <f>$J$5*1000*1000/((AA$12+1)*1.024)/$S16/3600</f>
        <v>156.25</v>
      </c>
      <c r="AC16" s="27">
        <f t="shared" si="16"/>
        <v>117.18749999999999</v>
      </c>
      <c r="AD16" s="46">
        <f>$J$5*1000*1000/((AC$12+1)*1.024)/$S16/3600</f>
        <v>114.58333333333331</v>
      </c>
      <c r="AE16" s="27">
        <f t="shared" si="17"/>
        <v>99.15865384615383</v>
      </c>
      <c r="AF16" s="46">
        <f>$J$5*1000*1000/((AE$12+1)*1.024)/$S16/3600</f>
        <v>97.28773584905662</v>
      </c>
      <c r="AG16" s="48"/>
      <c r="AH16" s="48"/>
      <c r="AI16" s="48"/>
    </row>
    <row r="17" spans="2:35" ht="30" customHeight="1">
      <c r="B17" s="29">
        <f t="shared" si="0"/>
        <v>0.06666666666666667</v>
      </c>
      <c r="C17" s="33">
        <f>60/4</f>
        <v>15</v>
      </c>
      <c r="D17" s="29">
        <f t="shared" si="1"/>
        <v>1.0666666666666667</v>
      </c>
      <c r="E17" s="54">
        <f t="shared" si="2"/>
        <v>0.9375</v>
      </c>
      <c r="F17" s="34">
        <f t="shared" si="3"/>
        <v>8</v>
      </c>
      <c r="G17" s="27">
        <f t="shared" si="4"/>
        <v>337.0098039215686</v>
      </c>
      <c r="H17" s="46">
        <f>$J$5*1000*1000/((G$12+1)*1.024)/$C17/3600</f>
        <v>318.28703703703695</v>
      </c>
      <c r="I17" s="27">
        <f t="shared" si="5"/>
        <v>238.71527777777777</v>
      </c>
      <c r="J17" s="46">
        <f>$J$5*1000*1000/((I$12+1)*1.024)/$C17/3600</f>
        <v>229.16666666666666</v>
      </c>
      <c r="K17" s="27">
        <f t="shared" si="6"/>
        <v>179.03645833333334</v>
      </c>
      <c r="L17" s="46">
        <f>$J$5*1000*1000/((K$12+1)*1.024)/$C17/3600</f>
        <v>173.61111111111111</v>
      </c>
      <c r="M17" s="27">
        <f t="shared" si="7"/>
        <v>130.20833333333334</v>
      </c>
      <c r="N17" s="46">
        <f>$J$5*1000*1000/((M$12+1)*1.024)/$C17/3600</f>
        <v>127.31481481481481</v>
      </c>
      <c r="O17" s="27">
        <f t="shared" si="8"/>
        <v>110.17628205128203</v>
      </c>
      <c r="P17" s="46">
        <f>$J$5*1000*1000/((O$12+1)*1.024)/$C17/3600</f>
        <v>108.09748427672957</v>
      </c>
      <c r="Q17" s="48"/>
      <c r="R17" s="29">
        <f t="shared" si="9"/>
        <v>0.08</v>
      </c>
      <c r="S17" s="53">
        <f>50/4</f>
        <v>12.5</v>
      </c>
      <c r="T17" s="29">
        <f t="shared" si="10"/>
        <v>1.28</v>
      </c>
      <c r="U17" s="54">
        <f t="shared" si="11"/>
        <v>0.78125</v>
      </c>
      <c r="V17" s="37">
        <f t="shared" si="12"/>
        <v>12</v>
      </c>
      <c r="W17" s="27">
        <f t="shared" si="13"/>
        <v>404.4117647058823</v>
      </c>
      <c r="X17" s="46">
        <f>$J$5*1000*1000/((W$12+1)*1.024)/$S17/3600</f>
        <v>381.9444444444444</v>
      </c>
      <c r="Y17" s="27">
        <f t="shared" si="14"/>
        <v>286.4583333333333</v>
      </c>
      <c r="Z17" s="46">
        <f>$J$5*1000*1000/((Y$12+1)*1.024)/$S17/3600</f>
        <v>275</v>
      </c>
      <c r="AA17" s="27">
        <f t="shared" si="15"/>
        <v>214.84375</v>
      </c>
      <c r="AB17" s="46">
        <f>$J$5*1000*1000/((AA$12+1)*1.024)/$S17/3600</f>
        <v>208.33333333333334</v>
      </c>
      <c r="AC17" s="27">
        <f t="shared" si="16"/>
        <v>156.25</v>
      </c>
      <c r="AD17" s="46">
        <f>$J$5*1000*1000/((AC$12+1)*1.024)/$S17/3600</f>
        <v>152.77777777777777</v>
      </c>
      <c r="AE17" s="27">
        <f t="shared" si="17"/>
        <v>132.21153846153845</v>
      </c>
      <c r="AF17" s="46">
        <f>$J$5*1000*1000/((AE$12+1)*1.024)/$S17/3600</f>
        <v>129.7169811320755</v>
      </c>
      <c r="AG17" s="48"/>
      <c r="AH17" s="48"/>
      <c r="AI17" s="48"/>
    </row>
    <row r="18" spans="2:32" ht="30" customHeight="1">
      <c r="B18" s="29">
        <f t="shared" si="0"/>
        <v>0.1</v>
      </c>
      <c r="C18" s="33">
        <f>60/6</f>
        <v>10</v>
      </c>
      <c r="D18" s="29">
        <f t="shared" si="1"/>
        <v>1.6</v>
      </c>
      <c r="E18" s="54">
        <f t="shared" si="2"/>
        <v>0.625</v>
      </c>
      <c r="F18" s="34">
        <f t="shared" si="3"/>
        <v>12</v>
      </c>
      <c r="G18" s="27">
        <f t="shared" si="4"/>
        <v>505.51470588235287</v>
      </c>
      <c r="H18" s="47">
        <f>$J$5*1000*1000/((G$12+1)*1.024)/$C18/3600</f>
        <v>477.43055555555543</v>
      </c>
      <c r="I18" s="27">
        <f t="shared" si="5"/>
        <v>358.0729166666667</v>
      </c>
      <c r="J18" s="47">
        <f>$J$5*1000*1000/((I$12+1)*1.024)/$C18/3600</f>
        <v>343.75</v>
      </c>
      <c r="K18" s="27">
        <f t="shared" si="6"/>
        <v>268.5546875</v>
      </c>
      <c r="L18" s="47">
        <f>$J$5*1000*1000/((K$12+1)*1.024)/$C18/3600</f>
        <v>260.4166666666667</v>
      </c>
      <c r="M18" s="27">
        <f t="shared" si="7"/>
        <v>195.3125</v>
      </c>
      <c r="N18" s="47">
        <f>$J$5*1000*1000/((M$12+1)*1.024)/$C18/3600</f>
        <v>190.97222222222223</v>
      </c>
      <c r="O18" s="27">
        <f t="shared" si="8"/>
        <v>165.26442307692307</v>
      </c>
      <c r="P18" s="47">
        <f>$J$5*1000*1000/((O$12+1)*1.024)/$C18/3600</f>
        <v>162.14622641509433</v>
      </c>
      <c r="Q18" s="48"/>
      <c r="R18" s="29">
        <f t="shared" si="9"/>
        <v>0.12</v>
      </c>
      <c r="S18" s="54">
        <f>50/6</f>
        <v>8.333333333333334</v>
      </c>
      <c r="T18" s="29">
        <f t="shared" si="10"/>
        <v>1.92</v>
      </c>
      <c r="U18" s="54">
        <f t="shared" si="11"/>
        <v>0.5208333333333334</v>
      </c>
      <c r="V18" s="37">
        <f t="shared" si="12"/>
        <v>18</v>
      </c>
      <c r="W18" s="27">
        <f t="shared" si="13"/>
        <v>606.6176470588234</v>
      </c>
      <c r="X18" s="46">
        <f>$J$5*1000*1000/((W$12+1)*1.024)/$S18/3600</f>
        <v>572.9166666666665</v>
      </c>
      <c r="Y18" s="27">
        <f t="shared" si="14"/>
        <v>429.6875</v>
      </c>
      <c r="Z18" s="47">
        <f>$J$5*1000*1000/((Y$12+1)*1.024)/$S18/3600</f>
        <v>412.5</v>
      </c>
      <c r="AA18" s="27">
        <f t="shared" si="15"/>
        <v>322.265625</v>
      </c>
      <c r="AB18" s="47">
        <f>$J$5*1000*1000/((AA$12+1)*1.024)/$S18/3600</f>
        <v>312.5</v>
      </c>
      <c r="AC18" s="27">
        <f t="shared" si="16"/>
        <v>234.37499999999997</v>
      </c>
      <c r="AD18" s="47">
        <f>$J$5*1000*1000/((AC$12+1)*1.024)/$S18/3600</f>
        <v>229.16666666666663</v>
      </c>
      <c r="AE18" s="27">
        <f t="shared" si="17"/>
        <v>198.31730769230765</v>
      </c>
      <c r="AF18" s="46">
        <f>$J$5*1000*1000/((AE$12+1)*1.024)/$S18/3600</f>
        <v>194.57547169811323</v>
      </c>
    </row>
    <row r="19" spans="2:32" ht="30" customHeight="1">
      <c r="B19" s="29">
        <f t="shared" si="0"/>
        <v>0.13333333333333333</v>
      </c>
      <c r="C19" s="54">
        <f>60/8</f>
        <v>7.5</v>
      </c>
      <c r="D19" s="29">
        <f t="shared" si="1"/>
        <v>2.1333333333333333</v>
      </c>
      <c r="E19" s="54">
        <f t="shared" si="2"/>
        <v>0.46875</v>
      </c>
      <c r="F19" s="34">
        <f t="shared" si="3"/>
        <v>16</v>
      </c>
      <c r="G19" s="27">
        <f t="shared" si="4"/>
        <v>674.0196078431372</v>
      </c>
      <c r="H19" s="26"/>
      <c r="I19" s="27">
        <f t="shared" si="5"/>
        <v>477.43055555555554</v>
      </c>
      <c r="J19" s="26"/>
      <c r="K19" s="27">
        <f t="shared" si="6"/>
        <v>358.0729166666667</v>
      </c>
      <c r="L19" s="26"/>
      <c r="M19" s="27">
        <f t="shared" si="7"/>
        <v>260.4166666666667</v>
      </c>
      <c r="N19" s="26"/>
      <c r="O19" s="27">
        <f t="shared" si="8"/>
        <v>220.35256410256406</v>
      </c>
      <c r="P19" s="26"/>
      <c r="Q19" s="48"/>
      <c r="R19" s="29">
        <f t="shared" si="9"/>
        <v>0.16</v>
      </c>
      <c r="S19" s="54">
        <f>50/8</f>
        <v>6.25</v>
      </c>
      <c r="T19" s="29">
        <f t="shared" si="10"/>
        <v>2.56</v>
      </c>
      <c r="U19" s="54">
        <f t="shared" si="11"/>
        <v>0.390625</v>
      </c>
      <c r="V19" s="37">
        <f t="shared" si="12"/>
        <v>24</v>
      </c>
      <c r="W19" s="27">
        <f t="shared" si="13"/>
        <v>808.8235294117646</v>
      </c>
      <c r="X19" s="26"/>
      <c r="Y19" s="27">
        <f t="shared" si="14"/>
        <v>572.9166666666666</v>
      </c>
      <c r="Z19" s="26"/>
      <c r="AA19" s="27">
        <f t="shared" si="15"/>
        <v>429.6875</v>
      </c>
      <c r="AB19" s="26"/>
      <c r="AC19" s="27">
        <f t="shared" si="16"/>
        <v>312.5</v>
      </c>
      <c r="AD19" s="26"/>
      <c r="AE19" s="27">
        <f t="shared" si="17"/>
        <v>264.4230769230769</v>
      </c>
      <c r="AF19" s="26"/>
    </row>
    <row r="20" spans="2:32" ht="30" customHeight="1">
      <c r="B20" s="29">
        <f t="shared" si="0"/>
        <v>0.16666666666666666</v>
      </c>
      <c r="C20" s="54">
        <f>60/10</f>
        <v>6</v>
      </c>
      <c r="D20" s="29">
        <f t="shared" si="1"/>
        <v>2.6666666666666665</v>
      </c>
      <c r="E20" s="54">
        <f t="shared" si="2"/>
        <v>0.375</v>
      </c>
      <c r="F20" s="34">
        <f t="shared" si="3"/>
        <v>20</v>
      </c>
      <c r="G20" s="27">
        <f t="shared" si="4"/>
        <v>842.5245098039214</v>
      </c>
      <c r="H20" s="26"/>
      <c r="I20" s="27">
        <f t="shared" si="5"/>
        <v>596.7881944444445</v>
      </c>
      <c r="J20" s="26"/>
      <c r="K20" s="27">
        <f t="shared" si="6"/>
        <v>447.5911458333333</v>
      </c>
      <c r="L20" s="26"/>
      <c r="M20" s="27">
        <f t="shared" si="7"/>
        <v>325.5208333333333</v>
      </c>
      <c r="N20" s="26"/>
      <c r="O20" s="27">
        <f t="shared" si="8"/>
        <v>275.4407051282051</v>
      </c>
      <c r="P20" s="26"/>
      <c r="Q20" s="48"/>
      <c r="R20" s="29">
        <f t="shared" si="9"/>
        <v>0.2</v>
      </c>
      <c r="S20" s="54">
        <f>50/10</f>
        <v>5</v>
      </c>
      <c r="T20" s="29">
        <f t="shared" si="10"/>
        <v>3.2</v>
      </c>
      <c r="U20" s="54">
        <f t="shared" si="11"/>
        <v>0.3125</v>
      </c>
      <c r="V20" s="37">
        <f t="shared" si="12"/>
        <v>30</v>
      </c>
      <c r="W20" s="27">
        <f t="shared" si="13"/>
        <v>1011.0294117647057</v>
      </c>
      <c r="X20" s="26"/>
      <c r="Y20" s="27">
        <f t="shared" si="14"/>
        <v>716.1458333333334</v>
      </c>
      <c r="Z20" s="26"/>
      <c r="AA20" s="27">
        <f t="shared" si="15"/>
        <v>537.109375</v>
      </c>
      <c r="AB20" s="26"/>
      <c r="AC20" s="27">
        <f t="shared" si="16"/>
        <v>390.625</v>
      </c>
      <c r="AD20" s="26"/>
      <c r="AE20" s="27">
        <f t="shared" si="17"/>
        <v>330.52884615384613</v>
      </c>
      <c r="AF20" s="26"/>
    </row>
    <row r="21" spans="2:32" ht="30" customHeight="1">
      <c r="B21" s="29">
        <f t="shared" si="0"/>
        <v>0.2</v>
      </c>
      <c r="C21" s="54">
        <f>60/12</f>
        <v>5</v>
      </c>
      <c r="D21" s="29">
        <f t="shared" si="1"/>
        <v>3.2</v>
      </c>
      <c r="E21" s="54">
        <f t="shared" si="2"/>
        <v>0.3125</v>
      </c>
      <c r="F21" s="34">
        <f t="shared" si="3"/>
        <v>24</v>
      </c>
      <c r="G21" s="27">
        <f t="shared" si="4"/>
        <v>1011.0294117647057</v>
      </c>
      <c r="H21" s="26"/>
      <c r="I21" s="27">
        <f t="shared" si="5"/>
        <v>716.1458333333334</v>
      </c>
      <c r="J21" s="26"/>
      <c r="K21" s="27">
        <f t="shared" si="6"/>
        <v>537.109375</v>
      </c>
      <c r="L21" s="26"/>
      <c r="M21" s="27">
        <f t="shared" si="7"/>
        <v>390.625</v>
      </c>
      <c r="N21" s="26"/>
      <c r="O21" s="27">
        <f t="shared" si="8"/>
        <v>330.52884615384613</v>
      </c>
      <c r="P21" s="26"/>
      <c r="Q21" s="48"/>
      <c r="R21" s="29">
        <f t="shared" si="9"/>
        <v>0.24</v>
      </c>
      <c r="S21" s="54">
        <f>50/12</f>
        <v>4.166666666666667</v>
      </c>
      <c r="T21" s="29">
        <f t="shared" si="10"/>
        <v>3.84</v>
      </c>
      <c r="U21" s="54">
        <f t="shared" si="11"/>
        <v>0.2604166666666667</v>
      </c>
      <c r="V21" s="37">
        <f t="shared" si="12"/>
        <v>36</v>
      </c>
      <c r="W21" s="27">
        <f t="shared" si="13"/>
        <v>1213.2352941176468</v>
      </c>
      <c r="X21" s="26"/>
      <c r="Y21" s="27">
        <f t="shared" si="14"/>
        <v>859.375</v>
      </c>
      <c r="Z21" s="26"/>
      <c r="AA21" s="27">
        <f t="shared" si="15"/>
        <v>644.53125</v>
      </c>
      <c r="AB21" s="26"/>
      <c r="AC21" s="27">
        <f t="shared" si="16"/>
        <v>468.74999999999994</v>
      </c>
      <c r="AD21" s="26"/>
      <c r="AE21" s="27">
        <f t="shared" si="17"/>
        <v>396.6346153846153</v>
      </c>
      <c r="AF21" s="26"/>
    </row>
    <row r="22" spans="2:32" ht="30" customHeight="1">
      <c r="B22" s="29">
        <f t="shared" si="0"/>
        <v>0.23333333333333334</v>
      </c>
      <c r="C22" s="54">
        <f>60/14</f>
        <v>4.285714285714286</v>
      </c>
      <c r="D22" s="29">
        <f t="shared" si="1"/>
        <v>3.7333333333333334</v>
      </c>
      <c r="E22" s="54">
        <f t="shared" si="2"/>
        <v>0.26785714285714285</v>
      </c>
      <c r="F22" s="34">
        <f t="shared" si="3"/>
        <v>28</v>
      </c>
      <c r="G22" s="27">
        <f t="shared" si="4"/>
        <v>1179.53431372549</v>
      </c>
      <c r="H22" s="26"/>
      <c r="I22" s="27">
        <f t="shared" si="5"/>
        <v>835.5034722222222</v>
      </c>
      <c r="J22" s="26"/>
      <c r="K22" s="27">
        <f t="shared" si="6"/>
        <v>626.6276041666666</v>
      </c>
      <c r="L22" s="26"/>
      <c r="M22" s="27">
        <f t="shared" si="7"/>
        <v>455.7291666666667</v>
      </c>
      <c r="N22" s="26"/>
      <c r="O22" s="27">
        <f t="shared" si="8"/>
        <v>385.6169871794872</v>
      </c>
      <c r="P22" s="26"/>
      <c r="Q22" s="48"/>
      <c r="R22" s="29">
        <f t="shared" si="9"/>
        <v>0.27999999999999997</v>
      </c>
      <c r="S22" s="54">
        <f>50/14</f>
        <v>3.5714285714285716</v>
      </c>
      <c r="T22" s="29">
        <f t="shared" si="10"/>
        <v>4.4799999999999995</v>
      </c>
      <c r="U22" s="54">
        <f t="shared" si="11"/>
        <v>0.22321428571428573</v>
      </c>
      <c r="V22" s="37">
        <f t="shared" si="12"/>
        <v>42</v>
      </c>
      <c r="W22" s="27">
        <f t="shared" si="13"/>
        <v>1415.441176470588</v>
      </c>
      <c r="X22" s="26"/>
      <c r="Y22" s="27">
        <f t="shared" si="14"/>
        <v>1002.6041666666666</v>
      </c>
      <c r="Z22" s="26"/>
      <c r="AA22" s="27">
        <f t="shared" si="15"/>
        <v>751.953125</v>
      </c>
      <c r="AB22" s="26"/>
      <c r="AC22" s="27">
        <f t="shared" si="16"/>
        <v>546.875</v>
      </c>
      <c r="AD22" s="26"/>
      <c r="AE22" s="27">
        <f t="shared" si="17"/>
        <v>462.7403846153845</v>
      </c>
      <c r="AF22" s="26"/>
    </row>
    <row r="23" spans="2:32" ht="30" customHeight="1">
      <c r="B23" s="29">
        <f t="shared" si="0"/>
        <v>0.26666666666666666</v>
      </c>
      <c r="C23" s="54">
        <f>60/16</f>
        <v>3.75</v>
      </c>
      <c r="D23" s="29">
        <f t="shared" si="1"/>
        <v>4.266666666666667</v>
      </c>
      <c r="E23" s="54">
        <f t="shared" si="2"/>
        <v>0.234375</v>
      </c>
      <c r="F23" s="34">
        <f t="shared" si="3"/>
        <v>32</v>
      </c>
      <c r="G23" s="27">
        <f t="shared" si="4"/>
        <v>1348.0392156862745</v>
      </c>
      <c r="H23" s="26"/>
      <c r="I23" s="27">
        <f t="shared" si="5"/>
        <v>954.8611111111111</v>
      </c>
      <c r="J23" s="26"/>
      <c r="K23" s="27">
        <f t="shared" si="6"/>
        <v>716.1458333333334</v>
      </c>
      <c r="L23" s="26"/>
      <c r="M23" s="27">
        <f t="shared" si="7"/>
        <v>520.8333333333334</v>
      </c>
      <c r="N23" s="26"/>
      <c r="O23" s="27">
        <f t="shared" si="8"/>
        <v>440.7051282051281</v>
      </c>
      <c r="P23" s="26"/>
      <c r="Q23" s="48"/>
      <c r="R23" s="29">
        <f t="shared" si="9"/>
        <v>0.32</v>
      </c>
      <c r="S23" s="54">
        <f>50/16</f>
        <v>3.125</v>
      </c>
      <c r="T23" s="29">
        <f t="shared" si="10"/>
        <v>5.12</v>
      </c>
      <c r="U23" s="54">
        <f t="shared" si="11"/>
        <v>0.1953125</v>
      </c>
      <c r="V23" s="37">
        <f t="shared" si="12"/>
        <v>48</v>
      </c>
      <c r="W23" s="27">
        <f t="shared" si="13"/>
        <v>1617.6470588235293</v>
      </c>
      <c r="X23" s="26"/>
      <c r="Y23" s="27">
        <f t="shared" si="14"/>
        <v>1145.8333333333333</v>
      </c>
      <c r="Z23" s="26"/>
      <c r="AA23" s="27">
        <f t="shared" si="15"/>
        <v>859.375</v>
      </c>
      <c r="AB23" s="26"/>
      <c r="AC23" s="27">
        <f t="shared" si="16"/>
        <v>625</v>
      </c>
      <c r="AD23" s="26"/>
      <c r="AE23" s="27">
        <f t="shared" si="17"/>
        <v>528.8461538461538</v>
      </c>
      <c r="AF23" s="26"/>
    </row>
    <row r="24" spans="2:32" ht="30" customHeight="1">
      <c r="B24" s="29">
        <f t="shared" si="0"/>
        <v>0.3</v>
      </c>
      <c r="C24" s="54">
        <f>60/18</f>
        <v>3.3333333333333335</v>
      </c>
      <c r="D24" s="29">
        <f t="shared" si="1"/>
        <v>4.8</v>
      </c>
      <c r="E24" s="54">
        <f t="shared" si="2"/>
        <v>0.20833333333333334</v>
      </c>
      <c r="F24" s="34">
        <f t="shared" si="3"/>
        <v>36</v>
      </c>
      <c r="G24" s="27">
        <f t="shared" si="4"/>
        <v>1516.5441176470586</v>
      </c>
      <c r="H24" s="26"/>
      <c r="I24" s="27">
        <f t="shared" si="5"/>
        <v>1074.21875</v>
      </c>
      <c r="J24" s="26"/>
      <c r="K24" s="27">
        <f t="shared" si="6"/>
        <v>805.6640625</v>
      </c>
      <c r="L24" s="26"/>
      <c r="M24" s="27">
        <f t="shared" si="7"/>
        <v>585.9375</v>
      </c>
      <c r="N24" s="26"/>
      <c r="O24" s="27">
        <f t="shared" si="8"/>
        <v>495.79326923076917</v>
      </c>
      <c r="P24" s="26"/>
      <c r="Q24" s="48"/>
      <c r="R24" s="29">
        <f t="shared" si="9"/>
        <v>0.36</v>
      </c>
      <c r="S24" s="54">
        <f>50/18</f>
        <v>2.7777777777777777</v>
      </c>
      <c r="T24" s="29">
        <f t="shared" si="10"/>
        <v>5.76</v>
      </c>
      <c r="U24" s="54">
        <f t="shared" si="11"/>
        <v>0.1736111111111111</v>
      </c>
      <c r="V24" s="37">
        <f t="shared" si="12"/>
        <v>54</v>
      </c>
      <c r="W24" s="27">
        <f t="shared" si="13"/>
        <v>1819.8529411764705</v>
      </c>
      <c r="X24" s="26"/>
      <c r="Y24" s="27">
        <f t="shared" si="14"/>
        <v>1289.0625</v>
      </c>
      <c r="Z24" s="26"/>
      <c r="AA24" s="27">
        <f t="shared" si="15"/>
        <v>966.796875</v>
      </c>
      <c r="AB24" s="26"/>
      <c r="AC24" s="27">
        <f t="shared" si="16"/>
        <v>703.125</v>
      </c>
      <c r="AD24" s="26"/>
      <c r="AE24" s="27">
        <f t="shared" si="17"/>
        <v>594.9519230769231</v>
      </c>
      <c r="AF24" s="26"/>
    </row>
    <row r="25" spans="2:32" ht="30" customHeight="1">
      <c r="B25" s="29">
        <f t="shared" si="0"/>
        <v>0.3333333333333333</v>
      </c>
      <c r="C25" s="54">
        <f>60/20</f>
        <v>3</v>
      </c>
      <c r="D25" s="29">
        <f t="shared" si="1"/>
        <v>5.333333333333333</v>
      </c>
      <c r="E25" s="54">
        <f t="shared" si="2"/>
        <v>0.1875</v>
      </c>
      <c r="F25" s="34">
        <f t="shared" si="3"/>
        <v>40</v>
      </c>
      <c r="G25" s="27">
        <f t="shared" si="4"/>
        <v>1685.0490196078429</v>
      </c>
      <c r="H25" s="26"/>
      <c r="I25" s="27">
        <f t="shared" si="5"/>
        <v>1193.576388888889</v>
      </c>
      <c r="J25" s="26"/>
      <c r="K25" s="27">
        <f t="shared" si="6"/>
        <v>895.1822916666666</v>
      </c>
      <c r="L25" s="26"/>
      <c r="M25" s="27">
        <f t="shared" si="7"/>
        <v>651.0416666666666</v>
      </c>
      <c r="N25" s="26"/>
      <c r="O25" s="27">
        <f t="shared" si="8"/>
        <v>550.8814102564102</v>
      </c>
      <c r="P25" s="26"/>
      <c r="Q25" s="48"/>
      <c r="R25" s="29">
        <f t="shared" si="9"/>
        <v>0.4</v>
      </c>
      <c r="S25" s="54">
        <f>50/20</f>
        <v>2.5</v>
      </c>
      <c r="T25" s="29">
        <f t="shared" si="10"/>
        <v>6.4</v>
      </c>
      <c r="U25" s="54">
        <f t="shared" si="11"/>
        <v>0.15625</v>
      </c>
      <c r="V25" s="37">
        <f t="shared" si="12"/>
        <v>60</v>
      </c>
      <c r="W25" s="27">
        <f t="shared" si="13"/>
        <v>2022.0588235294115</v>
      </c>
      <c r="X25" s="26"/>
      <c r="Y25" s="27">
        <f t="shared" si="14"/>
        <v>1432.2916666666667</v>
      </c>
      <c r="Z25" s="26"/>
      <c r="AA25" s="27">
        <f t="shared" si="15"/>
        <v>1074.21875</v>
      </c>
      <c r="AB25" s="26"/>
      <c r="AC25" s="27">
        <f t="shared" si="16"/>
        <v>781.25</v>
      </c>
      <c r="AD25" s="26"/>
      <c r="AE25" s="27">
        <f t="shared" si="17"/>
        <v>661.0576923076923</v>
      </c>
      <c r="AF25" s="26"/>
    </row>
    <row r="26" spans="2:32" ht="30" customHeight="1">
      <c r="B26" s="29">
        <f>1/C26</f>
        <v>0.3666666666666667</v>
      </c>
      <c r="C26" s="54">
        <f>60/22</f>
        <v>2.727272727272727</v>
      </c>
      <c r="D26" s="29">
        <f>1/E26</f>
        <v>5.866666666666667</v>
      </c>
      <c r="E26" s="54">
        <f>C26/$D$6</f>
        <v>0.17045454545454544</v>
      </c>
      <c r="F26" s="34">
        <f>60/C26*2</f>
        <v>44</v>
      </c>
      <c r="G26" s="27">
        <f t="shared" si="4"/>
        <v>1853.5539215686274</v>
      </c>
      <c r="H26" s="26"/>
      <c r="I26" s="27">
        <f t="shared" si="5"/>
        <v>1312.9340277777778</v>
      </c>
      <c r="J26" s="26"/>
      <c r="K26" s="27">
        <f t="shared" si="6"/>
        <v>984.7005208333335</v>
      </c>
      <c r="L26" s="26"/>
      <c r="M26" s="27">
        <f t="shared" si="7"/>
        <v>716.1458333333334</v>
      </c>
      <c r="N26" s="26"/>
      <c r="O26" s="27">
        <f t="shared" si="8"/>
        <v>605.9695512820513</v>
      </c>
      <c r="P26" s="26"/>
      <c r="Q26" s="48"/>
      <c r="R26" s="29">
        <f>1/S26</f>
        <v>0.43999999999999995</v>
      </c>
      <c r="S26" s="54">
        <f>50/22</f>
        <v>2.272727272727273</v>
      </c>
      <c r="T26" s="29">
        <f>1/U26</f>
        <v>7.039999999999999</v>
      </c>
      <c r="U26" s="54">
        <f>S26/$D$6</f>
        <v>0.14204545454545456</v>
      </c>
      <c r="V26" s="37">
        <f>50/S26*3</f>
        <v>65.99999999999999</v>
      </c>
      <c r="W26" s="27">
        <f t="shared" si="13"/>
        <v>2224.2647058823522</v>
      </c>
      <c r="X26" s="26"/>
      <c r="Y26" s="27">
        <f t="shared" si="14"/>
        <v>1575.520833333333</v>
      </c>
      <c r="Z26" s="26"/>
      <c r="AA26" s="27">
        <f t="shared" si="15"/>
        <v>1181.640625</v>
      </c>
      <c r="AB26" s="26"/>
      <c r="AC26" s="27">
        <f t="shared" si="16"/>
        <v>859.3749999999999</v>
      </c>
      <c r="AD26" s="26"/>
      <c r="AE26" s="27">
        <f t="shared" si="17"/>
        <v>727.1634615384614</v>
      </c>
      <c r="AF26" s="26"/>
    </row>
    <row r="27" spans="2:32" ht="30" customHeight="1">
      <c r="B27" s="72">
        <f t="shared" si="0"/>
        <v>0.4</v>
      </c>
      <c r="C27" s="73">
        <f>60/24</f>
        <v>2.5</v>
      </c>
      <c r="D27" s="29">
        <f t="shared" si="1"/>
        <v>6.4</v>
      </c>
      <c r="E27" s="54">
        <f t="shared" si="2"/>
        <v>0.15625</v>
      </c>
      <c r="F27" s="34">
        <f t="shared" si="3"/>
        <v>48</v>
      </c>
      <c r="G27" s="27">
        <f t="shared" si="4"/>
        <v>2022.0588235294115</v>
      </c>
      <c r="H27" s="26"/>
      <c r="I27" s="27">
        <f t="shared" si="5"/>
        <v>1432.2916666666667</v>
      </c>
      <c r="J27" s="26"/>
      <c r="K27" s="27">
        <f t="shared" si="6"/>
        <v>1074.21875</v>
      </c>
      <c r="L27" s="26"/>
      <c r="M27" s="27">
        <f t="shared" si="7"/>
        <v>781.25</v>
      </c>
      <c r="N27" s="26"/>
      <c r="O27" s="27">
        <f t="shared" si="8"/>
        <v>661.0576923076923</v>
      </c>
      <c r="P27" s="26"/>
      <c r="Q27" s="48"/>
      <c r="R27" s="72">
        <f t="shared" si="9"/>
        <v>0.48</v>
      </c>
      <c r="S27" s="73">
        <f>50/24</f>
        <v>2.0833333333333335</v>
      </c>
      <c r="T27" s="29">
        <f t="shared" si="10"/>
        <v>7.68</v>
      </c>
      <c r="U27" s="54">
        <f t="shared" si="11"/>
        <v>0.13020833333333334</v>
      </c>
      <c r="V27" s="37">
        <f t="shared" si="12"/>
        <v>72</v>
      </c>
      <c r="W27" s="27">
        <f t="shared" si="13"/>
        <v>2426.4705882352937</v>
      </c>
      <c r="X27" s="26"/>
      <c r="Y27" s="27">
        <f t="shared" si="14"/>
        <v>1718.75</v>
      </c>
      <c r="Z27" s="26"/>
      <c r="AA27" s="27">
        <f t="shared" si="15"/>
        <v>1289.0625</v>
      </c>
      <c r="AB27" s="26"/>
      <c r="AC27" s="27">
        <f t="shared" si="16"/>
        <v>937.4999999999999</v>
      </c>
      <c r="AD27" s="26"/>
      <c r="AE27" s="27">
        <f t="shared" si="17"/>
        <v>793.2692307692306</v>
      </c>
      <c r="AF27" s="26"/>
    </row>
    <row r="28" spans="2:32" ht="30" customHeight="1">
      <c r="B28" s="29">
        <f t="shared" si="0"/>
        <v>0.43333333333333335</v>
      </c>
      <c r="C28" s="54">
        <f>60/26</f>
        <v>2.3076923076923075</v>
      </c>
      <c r="D28" s="65">
        <f t="shared" si="1"/>
        <v>6.933333333333334</v>
      </c>
      <c r="E28" s="66">
        <f t="shared" si="2"/>
        <v>0.14423076923076922</v>
      </c>
      <c r="F28" s="34">
        <f t="shared" si="3"/>
        <v>52.00000000000001</v>
      </c>
      <c r="G28" s="27">
        <f t="shared" si="4"/>
        <v>2190.563725490196</v>
      </c>
      <c r="H28" s="26"/>
      <c r="I28" s="27">
        <f t="shared" si="5"/>
        <v>1551.6493055555559</v>
      </c>
      <c r="J28" s="26"/>
      <c r="K28" s="27">
        <f t="shared" si="6"/>
        <v>1163.7369791666667</v>
      </c>
      <c r="L28" s="26"/>
      <c r="M28" s="27">
        <f t="shared" si="7"/>
        <v>846.3541666666667</v>
      </c>
      <c r="N28" s="26"/>
      <c r="O28" s="27">
        <f t="shared" si="8"/>
        <v>716.1458333333334</v>
      </c>
      <c r="P28" s="26"/>
      <c r="Q28" s="48"/>
      <c r="R28" s="29">
        <f t="shared" si="9"/>
        <v>0.52</v>
      </c>
      <c r="S28" s="54">
        <f>50/26</f>
        <v>1.9230769230769231</v>
      </c>
      <c r="T28" s="65">
        <f t="shared" si="10"/>
        <v>8.32</v>
      </c>
      <c r="U28" s="66">
        <f t="shared" si="11"/>
        <v>0.1201923076923077</v>
      </c>
      <c r="V28" s="37">
        <f t="shared" si="12"/>
        <v>78</v>
      </c>
      <c r="W28" s="27">
        <f t="shared" si="13"/>
        <v>2628.676470588235</v>
      </c>
      <c r="X28" s="26"/>
      <c r="Y28" s="27">
        <f t="shared" si="14"/>
        <v>1861.9791666666667</v>
      </c>
      <c r="Z28" s="26"/>
      <c r="AA28" s="27">
        <f t="shared" si="15"/>
        <v>1396.484375</v>
      </c>
      <c r="AB28" s="26"/>
      <c r="AC28" s="27">
        <f t="shared" si="16"/>
        <v>1015.625</v>
      </c>
      <c r="AD28" s="26"/>
      <c r="AE28" s="27">
        <f t="shared" si="17"/>
        <v>859.3749999999999</v>
      </c>
      <c r="AF28" s="26"/>
    </row>
    <row r="29" spans="2:32" ht="30" customHeight="1">
      <c r="B29" s="29">
        <f>1/C29</f>
        <v>0.5</v>
      </c>
      <c r="C29" s="54">
        <f>60/30</f>
        <v>2</v>
      </c>
      <c r="D29" s="65">
        <f>1/E29</f>
        <v>8</v>
      </c>
      <c r="E29" s="66">
        <f>C29/$D$6</f>
        <v>0.125</v>
      </c>
      <c r="F29" s="34">
        <f>60/C29*2</f>
        <v>60</v>
      </c>
      <c r="G29" s="27">
        <f t="shared" si="4"/>
        <v>2527.5735294117644</v>
      </c>
      <c r="H29" s="26"/>
      <c r="I29" s="27">
        <f t="shared" si="5"/>
        <v>1790.3645833333333</v>
      </c>
      <c r="J29" s="26"/>
      <c r="K29" s="27">
        <f t="shared" si="6"/>
        <v>1342.7734375</v>
      </c>
      <c r="L29" s="26"/>
      <c r="M29" s="27">
        <f t="shared" si="7"/>
        <v>976.5625</v>
      </c>
      <c r="N29" s="26"/>
      <c r="O29" s="27">
        <f t="shared" si="8"/>
        <v>826.3221153846152</v>
      </c>
      <c r="P29" s="26"/>
      <c r="Q29" s="48"/>
      <c r="R29" s="72">
        <f>1/S29</f>
        <v>0.5599999999999999</v>
      </c>
      <c r="S29" s="73">
        <f>50/28</f>
        <v>1.7857142857142858</v>
      </c>
      <c r="T29" s="29">
        <f>1/U29</f>
        <v>8.959999999999999</v>
      </c>
      <c r="U29" s="54">
        <f>S29/$D$6</f>
        <v>0.11160714285714286</v>
      </c>
      <c r="V29" s="37">
        <f>50/S29*3</f>
        <v>84</v>
      </c>
      <c r="W29" s="27">
        <f t="shared" si="13"/>
        <v>2830.882352941176</v>
      </c>
      <c r="X29" s="26"/>
      <c r="Y29" s="27">
        <f t="shared" si="14"/>
        <v>2005.2083333333333</v>
      </c>
      <c r="Z29" s="26"/>
      <c r="AA29" s="27">
        <f t="shared" si="15"/>
        <v>1503.90625</v>
      </c>
      <c r="AB29" s="26"/>
      <c r="AC29" s="27">
        <f t="shared" si="16"/>
        <v>1093.75</v>
      </c>
      <c r="AD29" s="26"/>
      <c r="AE29" s="27">
        <f t="shared" si="17"/>
        <v>925.480769230769</v>
      </c>
      <c r="AF29" s="26"/>
    </row>
    <row r="30" spans="2:32" ht="30" customHeight="1">
      <c r="B30" s="74">
        <f>1/C30</f>
        <v>0.5333333333333333</v>
      </c>
      <c r="C30" s="75">
        <f>60/32</f>
        <v>1.875</v>
      </c>
      <c r="D30" s="30">
        <f>1/E30</f>
        <v>8.533333333333333</v>
      </c>
      <c r="E30" s="54">
        <f>C30/$D$6</f>
        <v>0.1171875</v>
      </c>
      <c r="F30" s="34">
        <f>60/C30*2</f>
        <v>64</v>
      </c>
      <c r="G30" s="50">
        <f t="shared" si="4"/>
        <v>2696.078431372549</v>
      </c>
      <c r="H30" s="51"/>
      <c r="I30" s="50">
        <f t="shared" si="5"/>
        <v>1909.7222222222222</v>
      </c>
      <c r="J30" s="51"/>
      <c r="K30" s="50">
        <f t="shared" si="6"/>
        <v>1432.2916666666667</v>
      </c>
      <c r="L30" s="51"/>
      <c r="M30" s="50">
        <f t="shared" si="7"/>
        <v>1041.6666666666667</v>
      </c>
      <c r="N30" s="51"/>
      <c r="O30" s="50">
        <f t="shared" si="8"/>
        <v>881.4102564102562</v>
      </c>
      <c r="P30" s="51"/>
      <c r="Q30" s="48"/>
      <c r="R30" s="30">
        <f>1/S30</f>
        <v>0.6</v>
      </c>
      <c r="S30" s="59">
        <f>50/30</f>
        <v>1.6666666666666667</v>
      </c>
      <c r="T30" s="67">
        <f>1/U30</f>
        <v>9.6</v>
      </c>
      <c r="U30" s="66">
        <f>S30/$D$6</f>
        <v>0.10416666666666667</v>
      </c>
      <c r="V30" s="37">
        <f>50/S30*3</f>
        <v>90</v>
      </c>
      <c r="W30" s="27">
        <f t="shared" si="13"/>
        <v>3033.088235294117</v>
      </c>
      <c r="X30" s="51"/>
      <c r="Y30" s="27">
        <f t="shared" si="14"/>
        <v>2148.4375</v>
      </c>
      <c r="Z30" s="51"/>
      <c r="AA30" s="27">
        <f t="shared" si="15"/>
        <v>1611.328125</v>
      </c>
      <c r="AB30" s="51"/>
      <c r="AC30" s="27">
        <f t="shared" si="16"/>
        <v>1171.875</v>
      </c>
      <c r="AD30" s="51"/>
      <c r="AE30" s="27">
        <f t="shared" si="17"/>
        <v>991.5865384615383</v>
      </c>
      <c r="AF30" s="51"/>
    </row>
    <row r="31" spans="2:32" ht="30" customHeight="1">
      <c r="B31" s="30">
        <f>1/C31</f>
        <v>0.6</v>
      </c>
      <c r="C31" s="59">
        <f>60/36</f>
        <v>1.6666666666666667</v>
      </c>
      <c r="D31" s="30">
        <f>1/E31</f>
        <v>9.6</v>
      </c>
      <c r="E31" s="54">
        <f>C31/$D$6</f>
        <v>0.10416666666666667</v>
      </c>
      <c r="F31" s="34">
        <f>60/C31*2</f>
        <v>72</v>
      </c>
      <c r="G31" s="50">
        <f t="shared" si="4"/>
        <v>3033.088235294117</v>
      </c>
      <c r="H31" s="51"/>
      <c r="I31" s="50">
        <f t="shared" si="5"/>
        <v>2148.4375</v>
      </c>
      <c r="J31" s="51"/>
      <c r="K31" s="50">
        <f t="shared" si="6"/>
        <v>1611.328125</v>
      </c>
      <c r="L31" s="51"/>
      <c r="M31" s="50">
        <f t="shared" si="7"/>
        <v>1171.875</v>
      </c>
      <c r="N31" s="51"/>
      <c r="O31" s="50">
        <f t="shared" si="8"/>
        <v>991.5865384615383</v>
      </c>
      <c r="P31" s="51"/>
      <c r="Q31" s="48"/>
      <c r="R31" s="74">
        <f>1/S31</f>
        <v>0.64</v>
      </c>
      <c r="S31" s="75">
        <f>50/32</f>
        <v>1.5625</v>
      </c>
      <c r="T31" s="30">
        <f>1/U31</f>
        <v>10.24</v>
      </c>
      <c r="U31" s="54">
        <f>S31/$D$6</f>
        <v>0.09765625</v>
      </c>
      <c r="V31" s="37">
        <f>50/S31*3</f>
        <v>96</v>
      </c>
      <c r="W31" s="27">
        <f t="shared" si="13"/>
        <v>3235.2941176470586</v>
      </c>
      <c r="X31" s="51"/>
      <c r="Y31" s="27">
        <f t="shared" si="14"/>
        <v>2291.6666666666665</v>
      </c>
      <c r="Z31" s="51"/>
      <c r="AA31" s="27">
        <f t="shared" si="15"/>
        <v>1718.75</v>
      </c>
      <c r="AB31" s="51"/>
      <c r="AC31" s="27">
        <f t="shared" si="16"/>
        <v>1250</v>
      </c>
      <c r="AD31" s="51"/>
      <c r="AE31" s="27">
        <f t="shared" si="17"/>
        <v>1057.6923076923076</v>
      </c>
      <c r="AF31" s="51"/>
    </row>
    <row r="32" spans="2:32" ht="30" customHeight="1">
      <c r="B32" s="74">
        <f t="shared" si="0"/>
        <v>0.6666666666666666</v>
      </c>
      <c r="C32" s="75">
        <f>60/40</f>
        <v>1.5</v>
      </c>
      <c r="D32" s="30">
        <f t="shared" si="1"/>
        <v>10.666666666666666</v>
      </c>
      <c r="E32" s="54">
        <f t="shared" si="2"/>
        <v>0.09375</v>
      </c>
      <c r="F32" s="34">
        <f t="shared" si="3"/>
        <v>80</v>
      </c>
      <c r="G32" s="50">
        <f t="shared" si="4"/>
        <v>3370.0980392156857</v>
      </c>
      <c r="H32" s="51"/>
      <c r="I32" s="50">
        <f t="shared" si="5"/>
        <v>2387.152777777778</v>
      </c>
      <c r="J32" s="51"/>
      <c r="K32" s="50">
        <f t="shared" si="6"/>
        <v>1790.3645833333333</v>
      </c>
      <c r="L32" s="51"/>
      <c r="M32" s="50">
        <f t="shared" si="7"/>
        <v>1302.0833333333333</v>
      </c>
      <c r="N32" s="51"/>
      <c r="O32" s="50">
        <f t="shared" si="8"/>
        <v>1101.7628205128203</v>
      </c>
      <c r="P32" s="51"/>
      <c r="Q32" s="48"/>
      <c r="R32" s="30">
        <f t="shared" si="9"/>
        <v>0.6799999999999999</v>
      </c>
      <c r="S32" s="59">
        <f>50/34</f>
        <v>1.4705882352941178</v>
      </c>
      <c r="T32" s="67">
        <f t="shared" si="10"/>
        <v>10.879999999999999</v>
      </c>
      <c r="U32" s="66">
        <f t="shared" si="11"/>
        <v>0.09191176470588236</v>
      </c>
      <c r="V32" s="37">
        <f t="shared" si="12"/>
        <v>102</v>
      </c>
      <c r="W32" s="27">
        <f t="shared" si="13"/>
        <v>3437.4999999999995</v>
      </c>
      <c r="X32" s="51"/>
      <c r="Y32" s="27">
        <f t="shared" si="14"/>
        <v>2434.8958333333335</v>
      </c>
      <c r="Z32" s="51"/>
      <c r="AA32" s="27">
        <f t="shared" si="15"/>
        <v>1826.1718749999998</v>
      </c>
      <c r="AB32" s="51"/>
      <c r="AC32" s="27">
        <f t="shared" si="16"/>
        <v>1328.125</v>
      </c>
      <c r="AD32" s="51"/>
      <c r="AE32" s="27">
        <f t="shared" si="17"/>
        <v>1123.7980769230767</v>
      </c>
      <c r="AF32" s="51"/>
    </row>
    <row r="33" spans="2:32" ht="30" customHeight="1">
      <c r="B33" s="29">
        <f>1/C33</f>
        <v>0.7</v>
      </c>
      <c r="C33" s="54">
        <f>60/42</f>
        <v>1.4285714285714286</v>
      </c>
      <c r="D33" s="65">
        <f>1/E33</f>
        <v>11.2</v>
      </c>
      <c r="E33" s="66">
        <f>C33/$D$6</f>
        <v>0.08928571428571429</v>
      </c>
      <c r="F33" s="34">
        <f>60/C33*2</f>
        <v>84</v>
      </c>
      <c r="G33" s="27">
        <f t="shared" si="4"/>
        <v>3538.6029411764703</v>
      </c>
      <c r="H33" s="26"/>
      <c r="I33" s="27">
        <f t="shared" si="5"/>
        <v>2506.5104166666665</v>
      </c>
      <c r="J33" s="26"/>
      <c r="K33" s="27">
        <f t="shared" si="6"/>
        <v>1879.8828125</v>
      </c>
      <c r="L33" s="26"/>
      <c r="M33" s="27">
        <f t="shared" si="7"/>
        <v>1367.1875</v>
      </c>
      <c r="N33" s="26"/>
      <c r="O33" s="27">
        <f t="shared" si="8"/>
        <v>1156.8509615384614</v>
      </c>
      <c r="P33" s="26"/>
      <c r="Q33" s="48"/>
      <c r="R33" s="72">
        <f>1/S33</f>
        <v>0.72</v>
      </c>
      <c r="S33" s="73">
        <f>50/36</f>
        <v>1.3888888888888888</v>
      </c>
      <c r="T33" s="29">
        <f>1/U33</f>
        <v>11.52</v>
      </c>
      <c r="U33" s="54">
        <f>S33/$D$6</f>
        <v>0.08680555555555555</v>
      </c>
      <c r="V33" s="37">
        <f>50/S33*3</f>
        <v>108</v>
      </c>
      <c r="W33" s="27">
        <f t="shared" si="13"/>
        <v>3639.705882352941</v>
      </c>
      <c r="X33" s="26"/>
      <c r="Y33" s="27">
        <f t="shared" si="14"/>
        <v>2578.125</v>
      </c>
      <c r="Z33" s="26"/>
      <c r="AA33" s="27">
        <f t="shared" si="15"/>
        <v>1933.59375</v>
      </c>
      <c r="AB33" s="26"/>
      <c r="AC33" s="27">
        <f t="shared" si="16"/>
        <v>1406.25</v>
      </c>
      <c r="AD33" s="26"/>
      <c r="AE33" s="27">
        <f t="shared" si="17"/>
        <v>1189.9038461538462</v>
      </c>
      <c r="AF33" s="26"/>
    </row>
    <row r="34" spans="2:32" ht="30" customHeight="1">
      <c r="B34" s="72">
        <f>1/C34</f>
        <v>0.7333333333333334</v>
      </c>
      <c r="C34" s="73">
        <f>60/44</f>
        <v>1.3636363636363635</v>
      </c>
      <c r="D34" s="29">
        <f>1/E34</f>
        <v>11.733333333333334</v>
      </c>
      <c r="E34" s="54">
        <f>C34/$D$6</f>
        <v>0.08522727272727272</v>
      </c>
      <c r="F34" s="34">
        <f>60/C34*2</f>
        <v>88</v>
      </c>
      <c r="G34" s="27">
        <f t="shared" si="4"/>
        <v>3707.107843137255</v>
      </c>
      <c r="H34" s="26"/>
      <c r="I34" s="27">
        <f t="shared" si="5"/>
        <v>2625.8680555555557</v>
      </c>
      <c r="J34" s="26"/>
      <c r="K34" s="27">
        <f t="shared" si="6"/>
        <v>1969.401041666667</v>
      </c>
      <c r="L34" s="26"/>
      <c r="M34" s="27">
        <f t="shared" si="7"/>
        <v>1432.2916666666667</v>
      </c>
      <c r="N34" s="26"/>
      <c r="O34" s="27">
        <f t="shared" si="8"/>
        <v>1211.9391025641025</v>
      </c>
      <c r="P34" s="26"/>
      <c r="Q34" s="48"/>
      <c r="R34" s="29">
        <f>1/S34</f>
        <v>0.7599999999999999</v>
      </c>
      <c r="S34" s="54">
        <f>50/38</f>
        <v>1.3157894736842106</v>
      </c>
      <c r="T34" s="65">
        <f>1/U34</f>
        <v>12.159999999999998</v>
      </c>
      <c r="U34" s="66">
        <f>S34/$D$6</f>
        <v>0.08223684210526316</v>
      </c>
      <c r="V34" s="37">
        <f>50/S34*3</f>
        <v>114</v>
      </c>
      <c r="W34" s="27">
        <f t="shared" si="13"/>
        <v>3841.9117647058815</v>
      </c>
      <c r="X34" s="26"/>
      <c r="Y34" s="27">
        <f t="shared" si="14"/>
        <v>2721.3541666666665</v>
      </c>
      <c r="Z34" s="26"/>
      <c r="AA34" s="27">
        <f t="shared" si="15"/>
        <v>2041.0156249999998</v>
      </c>
      <c r="AB34" s="26"/>
      <c r="AC34" s="27">
        <f t="shared" si="16"/>
        <v>1484.375</v>
      </c>
      <c r="AD34" s="26"/>
      <c r="AE34" s="27">
        <f t="shared" si="17"/>
        <v>1256.009615384615</v>
      </c>
      <c r="AF34" s="26"/>
    </row>
    <row r="35" spans="2:32" ht="30" customHeight="1">
      <c r="B35" s="29">
        <f t="shared" si="0"/>
        <v>0.8</v>
      </c>
      <c r="C35" s="54">
        <f>60/48</f>
        <v>1.25</v>
      </c>
      <c r="D35" s="29">
        <f t="shared" si="1"/>
        <v>12.8</v>
      </c>
      <c r="E35" s="54">
        <f t="shared" si="2"/>
        <v>0.078125</v>
      </c>
      <c r="F35" s="34">
        <f t="shared" si="3"/>
        <v>96</v>
      </c>
      <c r="G35" s="27">
        <f t="shared" si="4"/>
        <v>4044.117647058823</v>
      </c>
      <c r="H35" s="26"/>
      <c r="I35" s="27">
        <f t="shared" si="5"/>
        <v>2864.5833333333335</v>
      </c>
      <c r="J35" s="26"/>
      <c r="K35" s="27">
        <f t="shared" si="6"/>
        <v>2148.4375</v>
      </c>
      <c r="L35" s="26"/>
      <c r="M35" s="27">
        <f t="shared" si="7"/>
        <v>1562.5</v>
      </c>
      <c r="N35" s="26"/>
      <c r="O35" s="27">
        <f t="shared" si="8"/>
        <v>1322.1153846153845</v>
      </c>
      <c r="P35" s="26"/>
      <c r="Q35" s="48"/>
      <c r="R35" s="72">
        <f t="shared" si="9"/>
        <v>0.8</v>
      </c>
      <c r="S35" s="73">
        <f>50/40</f>
        <v>1.25</v>
      </c>
      <c r="T35" s="29">
        <f t="shared" si="10"/>
        <v>12.8</v>
      </c>
      <c r="U35" s="54">
        <f t="shared" si="11"/>
        <v>0.078125</v>
      </c>
      <c r="V35" s="37">
        <f t="shared" si="12"/>
        <v>120</v>
      </c>
      <c r="W35" s="27">
        <f t="shared" si="13"/>
        <v>4044.117647058823</v>
      </c>
      <c r="X35" s="26"/>
      <c r="Y35" s="27">
        <f t="shared" si="14"/>
        <v>2864.5833333333335</v>
      </c>
      <c r="Z35" s="26"/>
      <c r="AA35" s="27">
        <f t="shared" si="15"/>
        <v>2148.4375</v>
      </c>
      <c r="AB35" s="26"/>
      <c r="AC35" s="27">
        <f t="shared" si="16"/>
        <v>1562.5</v>
      </c>
      <c r="AD35" s="26"/>
      <c r="AE35" s="27">
        <f t="shared" si="17"/>
        <v>1322.1153846153845</v>
      </c>
      <c r="AF35" s="26"/>
    </row>
    <row r="36" spans="2:32" ht="30" customHeight="1">
      <c r="B36" s="30">
        <f>1/C36</f>
        <v>0.8999999999999999</v>
      </c>
      <c r="C36" s="59">
        <f>60/54</f>
        <v>1.1111111111111112</v>
      </c>
      <c r="D36" s="67">
        <f>1/E36</f>
        <v>14.399999999999999</v>
      </c>
      <c r="E36" s="66">
        <f>C36/$D$6</f>
        <v>0.06944444444444445</v>
      </c>
      <c r="F36" s="34">
        <f>60/C36*2</f>
        <v>108</v>
      </c>
      <c r="G36" s="50">
        <f t="shared" si="4"/>
        <v>4549.632352941176</v>
      </c>
      <c r="H36" s="51"/>
      <c r="I36" s="50">
        <f t="shared" si="5"/>
        <v>3222.65625</v>
      </c>
      <c r="J36" s="51"/>
      <c r="K36" s="50">
        <f t="shared" si="6"/>
        <v>2416.9921875</v>
      </c>
      <c r="L36" s="51"/>
      <c r="M36" s="50">
        <f t="shared" si="7"/>
        <v>1757.8125</v>
      </c>
      <c r="N36" s="51"/>
      <c r="O36" s="50">
        <f t="shared" si="8"/>
        <v>1487.3798076923076</v>
      </c>
      <c r="P36" s="51"/>
      <c r="Q36" s="48"/>
      <c r="R36" s="30">
        <f>1/S36</f>
        <v>0.8799999999999999</v>
      </c>
      <c r="S36" s="59">
        <f>50/44</f>
        <v>1.1363636363636365</v>
      </c>
      <c r="T36" s="30">
        <f>1/U36</f>
        <v>14.079999999999998</v>
      </c>
      <c r="U36" s="54">
        <f>S36/$D$6</f>
        <v>0.07102272727272728</v>
      </c>
      <c r="V36" s="37">
        <f>50/S36*3</f>
        <v>131.99999999999997</v>
      </c>
      <c r="W36" s="27">
        <f t="shared" si="13"/>
        <v>4448.5294117647045</v>
      </c>
      <c r="X36" s="51"/>
      <c r="Y36" s="27">
        <f t="shared" si="14"/>
        <v>3151.041666666666</v>
      </c>
      <c r="Z36" s="51"/>
      <c r="AA36" s="27">
        <f t="shared" si="15"/>
        <v>2363.28125</v>
      </c>
      <c r="AB36" s="51"/>
      <c r="AC36" s="27">
        <f t="shared" si="16"/>
        <v>1718.7499999999998</v>
      </c>
      <c r="AD36" s="51"/>
      <c r="AE36" s="27">
        <f t="shared" si="17"/>
        <v>1454.3269230769229</v>
      </c>
      <c r="AF36" s="51"/>
    </row>
    <row r="37" spans="2:32" ht="30" customHeight="1">
      <c r="B37" s="74">
        <f>1/C37</f>
        <v>0.9333333333333333</v>
      </c>
      <c r="C37" s="75">
        <f>60/56</f>
        <v>1.0714285714285714</v>
      </c>
      <c r="D37" s="30">
        <f>1/E37</f>
        <v>14.933333333333334</v>
      </c>
      <c r="E37" s="54">
        <f>C37/$D$6</f>
        <v>0.06696428571428571</v>
      </c>
      <c r="F37" s="34">
        <f>60/C37*2</f>
        <v>112</v>
      </c>
      <c r="G37" s="50">
        <f t="shared" si="4"/>
        <v>4718.13725490196</v>
      </c>
      <c r="H37" s="51"/>
      <c r="I37" s="50">
        <f t="shared" si="5"/>
        <v>3342.0138888888887</v>
      </c>
      <c r="J37" s="51"/>
      <c r="K37" s="50">
        <f t="shared" si="6"/>
        <v>2506.5104166666665</v>
      </c>
      <c r="L37" s="51"/>
      <c r="M37" s="50">
        <f t="shared" si="7"/>
        <v>1822.9166666666667</v>
      </c>
      <c r="N37" s="51"/>
      <c r="O37" s="50">
        <f t="shared" si="8"/>
        <v>1542.4679487179487</v>
      </c>
      <c r="P37" s="51"/>
      <c r="Q37" s="48"/>
      <c r="R37" s="30">
        <f>1/S37</f>
        <v>0.96</v>
      </c>
      <c r="S37" s="59">
        <f>50/48</f>
        <v>1.0416666666666667</v>
      </c>
      <c r="T37" s="30">
        <f>1/U37</f>
        <v>15.36</v>
      </c>
      <c r="U37" s="54">
        <f>S37/$D$6</f>
        <v>0.06510416666666667</v>
      </c>
      <c r="V37" s="37">
        <f>50/S37*3</f>
        <v>144</v>
      </c>
      <c r="W37" s="27">
        <f t="shared" si="13"/>
        <v>4852.941176470587</v>
      </c>
      <c r="X37" s="51"/>
      <c r="Y37" s="27">
        <f t="shared" si="14"/>
        <v>3437.5</v>
      </c>
      <c r="Z37" s="51"/>
      <c r="AA37" s="27">
        <f t="shared" si="15"/>
        <v>2578.125</v>
      </c>
      <c r="AB37" s="51"/>
      <c r="AC37" s="27">
        <f t="shared" si="16"/>
        <v>1874.9999999999998</v>
      </c>
      <c r="AD37" s="51"/>
      <c r="AE37" s="27">
        <f t="shared" si="17"/>
        <v>1586.5384615384612</v>
      </c>
      <c r="AF37" s="51"/>
    </row>
    <row r="38" spans="2:32" ht="30" customHeight="1">
      <c r="B38" s="31">
        <f t="shared" si="0"/>
        <v>1</v>
      </c>
      <c r="C38" s="54">
        <v>1</v>
      </c>
      <c r="D38" s="31">
        <f t="shared" si="1"/>
        <v>16</v>
      </c>
      <c r="E38" s="54">
        <f t="shared" si="2"/>
        <v>0.0625</v>
      </c>
      <c r="F38" s="34">
        <f t="shared" si="3"/>
        <v>120</v>
      </c>
      <c r="G38" s="27">
        <f t="shared" si="4"/>
        <v>5055.147058823529</v>
      </c>
      <c r="H38" s="26"/>
      <c r="I38" s="27">
        <f t="shared" si="5"/>
        <v>3580.7291666666665</v>
      </c>
      <c r="J38" s="26"/>
      <c r="K38" s="27">
        <f t="shared" si="6"/>
        <v>2685.546875</v>
      </c>
      <c r="L38" s="26"/>
      <c r="M38" s="27">
        <f t="shared" si="7"/>
        <v>1953.125</v>
      </c>
      <c r="N38" s="26"/>
      <c r="O38" s="27">
        <f t="shared" si="8"/>
        <v>1652.6442307692305</v>
      </c>
      <c r="P38" s="26"/>
      <c r="Q38" s="48"/>
      <c r="R38" s="31">
        <f t="shared" si="9"/>
        <v>1.04</v>
      </c>
      <c r="S38" s="54">
        <f>50/52</f>
        <v>0.9615384615384616</v>
      </c>
      <c r="T38" s="31">
        <f t="shared" si="10"/>
        <v>16.64</v>
      </c>
      <c r="U38" s="54">
        <f>S38/$D$6</f>
        <v>0.06009615384615385</v>
      </c>
      <c r="V38" s="37">
        <f t="shared" si="12"/>
        <v>156</v>
      </c>
      <c r="W38" s="27">
        <f t="shared" si="13"/>
        <v>5257.35294117647</v>
      </c>
      <c r="X38" s="26"/>
      <c r="Y38" s="27">
        <f t="shared" si="14"/>
        <v>3723.9583333333335</v>
      </c>
      <c r="Z38" s="26"/>
      <c r="AA38" s="27">
        <f t="shared" si="15"/>
        <v>2792.96875</v>
      </c>
      <c r="AB38" s="26"/>
      <c r="AC38" s="27">
        <f t="shared" si="16"/>
        <v>2031.25</v>
      </c>
      <c r="AD38" s="26"/>
      <c r="AE38" s="27">
        <f t="shared" si="17"/>
        <v>1718.7499999999998</v>
      </c>
      <c r="AF38" s="26"/>
    </row>
    <row r="39" spans="2:32" ht="30" customHeight="1">
      <c r="B39" s="31">
        <f t="shared" si="0"/>
        <v>2</v>
      </c>
      <c r="C39" s="54">
        <f>1/2</f>
        <v>0.5</v>
      </c>
      <c r="D39" s="68">
        <f t="shared" si="1"/>
        <v>32</v>
      </c>
      <c r="E39" s="66">
        <f t="shared" si="2"/>
        <v>0.03125</v>
      </c>
      <c r="F39" s="34">
        <f t="shared" si="3"/>
        <v>240</v>
      </c>
      <c r="G39" s="27">
        <f t="shared" si="4"/>
        <v>10110.294117647058</v>
      </c>
      <c r="H39" s="26"/>
      <c r="I39" s="27">
        <f t="shared" si="5"/>
        <v>7161.458333333333</v>
      </c>
      <c r="J39" s="26"/>
      <c r="K39" s="27">
        <f t="shared" si="6"/>
        <v>5371.09375</v>
      </c>
      <c r="L39" s="26"/>
      <c r="M39" s="27">
        <f t="shared" si="7"/>
        <v>3906.25</v>
      </c>
      <c r="N39" s="26"/>
      <c r="O39" s="27">
        <f t="shared" si="8"/>
        <v>3305.288461538461</v>
      </c>
      <c r="P39" s="26"/>
      <c r="Q39" s="48"/>
      <c r="R39" s="31">
        <f t="shared" si="9"/>
        <v>2</v>
      </c>
      <c r="S39" s="54">
        <f>1/2</f>
        <v>0.5</v>
      </c>
      <c r="T39" s="68">
        <f t="shared" si="10"/>
        <v>32</v>
      </c>
      <c r="U39" s="66">
        <f t="shared" si="11"/>
        <v>0.03125</v>
      </c>
      <c r="V39" s="37">
        <f t="shared" si="12"/>
        <v>300</v>
      </c>
      <c r="W39" s="27">
        <f t="shared" si="13"/>
        <v>10110.294117647058</v>
      </c>
      <c r="X39" s="26"/>
      <c r="Y39" s="27">
        <f t="shared" si="14"/>
        <v>7161.458333333333</v>
      </c>
      <c r="Z39" s="26"/>
      <c r="AA39" s="27">
        <f t="shared" si="15"/>
        <v>5371.09375</v>
      </c>
      <c r="AB39" s="26"/>
      <c r="AC39" s="27">
        <f t="shared" si="16"/>
        <v>3906.25</v>
      </c>
      <c r="AD39" s="26"/>
      <c r="AE39" s="27">
        <f t="shared" si="17"/>
        <v>3305.288461538461</v>
      </c>
      <c r="AF39" s="26"/>
    </row>
    <row r="40" spans="1:32" ht="30" customHeight="1">
      <c r="A40" s="11"/>
      <c r="B40" s="31">
        <f t="shared" si="0"/>
        <v>3</v>
      </c>
      <c r="C40" s="54">
        <f>1/3</f>
        <v>0.3333333333333333</v>
      </c>
      <c r="D40" s="68">
        <f t="shared" si="1"/>
        <v>48</v>
      </c>
      <c r="E40" s="66">
        <f t="shared" si="2"/>
        <v>0.020833333333333332</v>
      </c>
      <c r="F40" s="34">
        <f t="shared" si="3"/>
        <v>360</v>
      </c>
      <c r="G40" s="27">
        <f t="shared" si="4"/>
        <v>15165.441176470586</v>
      </c>
      <c r="H40" s="26"/>
      <c r="I40" s="27">
        <f t="shared" si="5"/>
        <v>10742.1875</v>
      </c>
      <c r="J40" s="26"/>
      <c r="K40" s="27">
        <f t="shared" si="6"/>
        <v>8056.640625</v>
      </c>
      <c r="L40" s="26"/>
      <c r="M40" s="27">
        <f t="shared" si="7"/>
        <v>5859.375</v>
      </c>
      <c r="N40" s="26"/>
      <c r="O40" s="27">
        <f t="shared" si="8"/>
        <v>4957.932692307692</v>
      </c>
      <c r="P40" s="26"/>
      <c r="Q40" s="48"/>
      <c r="R40" s="31">
        <f t="shared" si="9"/>
        <v>3</v>
      </c>
      <c r="S40" s="54">
        <f>1/3</f>
        <v>0.3333333333333333</v>
      </c>
      <c r="T40" s="68">
        <f t="shared" si="10"/>
        <v>48</v>
      </c>
      <c r="U40" s="66">
        <f t="shared" si="11"/>
        <v>0.020833333333333332</v>
      </c>
      <c r="V40" s="37">
        <f t="shared" si="12"/>
        <v>450</v>
      </c>
      <c r="W40" s="27">
        <f t="shared" si="13"/>
        <v>15165.441176470586</v>
      </c>
      <c r="X40" s="26"/>
      <c r="Y40" s="27">
        <f t="shared" si="14"/>
        <v>10742.1875</v>
      </c>
      <c r="Z40" s="26"/>
      <c r="AA40" s="27">
        <f t="shared" si="15"/>
        <v>8056.640625</v>
      </c>
      <c r="AB40" s="26"/>
      <c r="AC40" s="27">
        <f t="shared" si="16"/>
        <v>5859.375</v>
      </c>
      <c r="AD40" s="26"/>
      <c r="AE40" s="27">
        <f t="shared" si="17"/>
        <v>4957.932692307692</v>
      </c>
      <c r="AF40" s="26"/>
    </row>
    <row r="41" spans="1:32" ht="30" customHeight="1">
      <c r="A41" s="11"/>
      <c r="B41" s="31">
        <f t="shared" si="0"/>
        <v>4</v>
      </c>
      <c r="C41" s="54">
        <f>1/4</f>
        <v>0.25</v>
      </c>
      <c r="D41" s="68">
        <f t="shared" si="1"/>
        <v>64</v>
      </c>
      <c r="E41" s="66">
        <f t="shared" si="2"/>
        <v>0.015625</v>
      </c>
      <c r="F41" s="34">
        <f t="shared" si="3"/>
        <v>480</v>
      </c>
      <c r="G41" s="27">
        <f t="shared" si="4"/>
        <v>20220.588235294115</v>
      </c>
      <c r="H41" s="26"/>
      <c r="I41" s="27">
        <f t="shared" si="5"/>
        <v>14322.916666666666</v>
      </c>
      <c r="J41" s="26"/>
      <c r="K41" s="27">
        <f t="shared" si="6"/>
        <v>10742.1875</v>
      </c>
      <c r="L41" s="26"/>
      <c r="M41" s="27">
        <f t="shared" si="7"/>
        <v>7812.5</v>
      </c>
      <c r="N41" s="26"/>
      <c r="O41" s="27">
        <f t="shared" si="8"/>
        <v>6610.576923076922</v>
      </c>
      <c r="P41" s="26"/>
      <c r="Q41" s="48"/>
      <c r="R41" s="31">
        <f t="shared" si="9"/>
        <v>4</v>
      </c>
      <c r="S41" s="54">
        <f>1/4</f>
        <v>0.25</v>
      </c>
      <c r="T41" s="68">
        <f t="shared" si="10"/>
        <v>64</v>
      </c>
      <c r="U41" s="66">
        <f t="shared" si="11"/>
        <v>0.015625</v>
      </c>
      <c r="V41" s="37">
        <f t="shared" si="12"/>
        <v>600</v>
      </c>
      <c r="W41" s="27">
        <f t="shared" si="13"/>
        <v>20220.588235294115</v>
      </c>
      <c r="X41" s="26"/>
      <c r="Y41" s="27">
        <f t="shared" si="14"/>
        <v>14322.916666666666</v>
      </c>
      <c r="Z41" s="26"/>
      <c r="AA41" s="27">
        <f t="shared" si="15"/>
        <v>10742.1875</v>
      </c>
      <c r="AB41" s="26"/>
      <c r="AC41" s="27">
        <f t="shared" si="16"/>
        <v>7812.5</v>
      </c>
      <c r="AD41" s="26"/>
      <c r="AE41" s="27">
        <f t="shared" si="17"/>
        <v>6610.576923076922</v>
      </c>
      <c r="AF41" s="26"/>
    </row>
    <row r="42" spans="2:32" ht="30" customHeight="1">
      <c r="B42" s="31">
        <f t="shared" si="0"/>
        <v>5</v>
      </c>
      <c r="C42" s="54">
        <f>1/5</f>
        <v>0.2</v>
      </c>
      <c r="D42" s="68">
        <f t="shared" si="1"/>
        <v>80</v>
      </c>
      <c r="E42" s="66">
        <f t="shared" si="2"/>
        <v>0.0125</v>
      </c>
      <c r="F42" s="34">
        <f t="shared" si="3"/>
        <v>600</v>
      </c>
      <c r="G42" s="27">
        <f t="shared" si="4"/>
        <v>25275.735294117643</v>
      </c>
      <c r="H42" s="26"/>
      <c r="I42" s="27">
        <f t="shared" si="5"/>
        <v>17903.645833333332</v>
      </c>
      <c r="J42" s="26"/>
      <c r="K42" s="27">
        <f t="shared" si="6"/>
        <v>13427.734375</v>
      </c>
      <c r="L42" s="26"/>
      <c r="M42" s="27">
        <f t="shared" si="7"/>
        <v>9765.625</v>
      </c>
      <c r="N42" s="26"/>
      <c r="O42" s="27">
        <f t="shared" si="8"/>
        <v>8263.221153846152</v>
      </c>
      <c r="P42" s="26"/>
      <c r="Q42" s="48"/>
      <c r="R42" s="31">
        <f t="shared" si="9"/>
        <v>5</v>
      </c>
      <c r="S42" s="54">
        <f>1/5</f>
        <v>0.2</v>
      </c>
      <c r="T42" s="68">
        <f t="shared" si="10"/>
        <v>80</v>
      </c>
      <c r="U42" s="66">
        <f t="shared" si="11"/>
        <v>0.0125</v>
      </c>
      <c r="V42" s="37">
        <f t="shared" si="12"/>
        <v>750</v>
      </c>
      <c r="W42" s="27">
        <f t="shared" si="13"/>
        <v>25275.735294117643</v>
      </c>
      <c r="X42" s="26"/>
      <c r="Y42" s="27">
        <f t="shared" si="14"/>
        <v>17903.645833333332</v>
      </c>
      <c r="Z42" s="26"/>
      <c r="AA42" s="27">
        <f t="shared" si="15"/>
        <v>13427.734375</v>
      </c>
      <c r="AB42" s="26"/>
      <c r="AC42" s="27">
        <f t="shared" si="16"/>
        <v>9765.625</v>
      </c>
      <c r="AD42" s="26"/>
      <c r="AE42" s="27">
        <f t="shared" si="17"/>
        <v>8263.221153846152</v>
      </c>
      <c r="AF42" s="26"/>
    </row>
    <row r="43" spans="2:32" ht="30" customHeight="1">
      <c r="B43" s="31">
        <f t="shared" si="0"/>
        <v>10</v>
      </c>
      <c r="C43" s="54">
        <f>1/10</f>
        <v>0.1</v>
      </c>
      <c r="D43" s="68">
        <f t="shared" si="1"/>
        <v>160</v>
      </c>
      <c r="E43" s="66">
        <f t="shared" si="2"/>
        <v>0.00625</v>
      </c>
      <c r="F43" s="34">
        <f t="shared" si="3"/>
        <v>1200</v>
      </c>
      <c r="G43" s="27">
        <f t="shared" si="4"/>
        <v>50551.47058823529</v>
      </c>
      <c r="H43" s="26"/>
      <c r="I43" s="27">
        <f t="shared" si="5"/>
        <v>35807.291666666664</v>
      </c>
      <c r="J43" s="26"/>
      <c r="K43" s="27">
        <f t="shared" si="6"/>
        <v>26855.46875</v>
      </c>
      <c r="L43" s="26"/>
      <c r="M43" s="27">
        <f t="shared" si="7"/>
        <v>19531.25</v>
      </c>
      <c r="N43" s="26"/>
      <c r="O43" s="27">
        <f t="shared" si="8"/>
        <v>16526.442307692305</v>
      </c>
      <c r="P43" s="26"/>
      <c r="Q43" s="48"/>
      <c r="R43" s="31">
        <f t="shared" si="9"/>
        <v>10</v>
      </c>
      <c r="S43" s="54">
        <f>1/10</f>
        <v>0.1</v>
      </c>
      <c r="T43" s="68">
        <f t="shared" si="10"/>
        <v>160</v>
      </c>
      <c r="U43" s="66">
        <f t="shared" si="11"/>
        <v>0.00625</v>
      </c>
      <c r="V43" s="37">
        <f t="shared" si="12"/>
        <v>1500</v>
      </c>
      <c r="W43" s="27">
        <f t="shared" si="13"/>
        <v>50551.47058823529</v>
      </c>
      <c r="X43" s="26"/>
      <c r="Y43" s="27">
        <f t="shared" si="14"/>
        <v>35807.291666666664</v>
      </c>
      <c r="Z43" s="26"/>
      <c r="AA43" s="27">
        <f t="shared" si="15"/>
        <v>26855.46875</v>
      </c>
      <c r="AB43" s="26"/>
      <c r="AC43" s="27">
        <f t="shared" si="16"/>
        <v>19531.25</v>
      </c>
      <c r="AD43" s="26"/>
      <c r="AE43" s="27">
        <f t="shared" si="17"/>
        <v>16526.442307692305</v>
      </c>
      <c r="AF43" s="26"/>
    </row>
    <row r="44" spans="2:32" ht="30" customHeight="1">
      <c r="B44" s="31">
        <f t="shared" si="0"/>
        <v>20</v>
      </c>
      <c r="C44" s="54">
        <f>1/20</f>
        <v>0.05</v>
      </c>
      <c r="D44" s="68">
        <f t="shared" si="1"/>
        <v>320</v>
      </c>
      <c r="E44" s="66">
        <f t="shared" si="2"/>
        <v>0.003125</v>
      </c>
      <c r="F44" s="34">
        <f t="shared" si="3"/>
        <v>2400</v>
      </c>
      <c r="G44" s="27">
        <f t="shared" si="4"/>
        <v>101102.94117647057</v>
      </c>
      <c r="H44" s="26"/>
      <c r="I44" s="27">
        <f t="shared" si="5"/>
        <v>71614.58333333333</v>
      </c>
      <c r="J44" s="26"/>
      <c r="K44" s="27">
        <f t="shared" si="6"/>
        <v>53710.9375</v>
      </c>
      <c r="L44" s="26"/>
      <c r="M44" s="27">
        <f t="shared" si="7"/>
        <v>39062.5</v>
      </c>
      <c r="N44" s="26"/>
      <c r="O44" s="27">
        <f t="shared" si="8"/>
        <v>33052.88461538461</v>
      </c>
      <c r="P44" s="26"/>
      <c r="Q44" s="48"/>
      <c r="R44" s="31">
        <f t="shared" si="9"/>
        <v>20</v>
      </c>
      <c r="S44" s="54">
        <f>1/20</f>
        <v>0.05</v>
      </c>
      <c r="T44" s="68">
        <f t="shared" si="10"/>
        <v>320</v>
      </c>
      <c r="U44" s="66">
        <f t="shared" si="11"/>
        <v>0.003125</v>
      </c>
      <c r="V44" s="37">
        <f t="shared" si="12"/>
        <v>3000</v>
      </c>
      <c r="W44" s="27">
        <f t="shared" si="13"/>
        <v>101102.94117647057</v>
      </c>
      <c r="X44" s="26"/>
      <c r="Y44" s="27">
        <f t="shared" si="14"/>
        <v>71614.58333333333</v>
      </c>
      <c r="Z44" s="26"/>
      <c r="AA44" s="27">
        <f t="shared" si="15"/>
        <v>53710.9375</v>
      </c>
      <c r="AB44" s="26"/>
      <c r="AC44" s="27">
        <f t="shared" si="16"/>
        <v>39062.5</v>
      </c>
      <c r="AD44" s="26"/>
      <c r="AE44" s="27">
        <f t="shared" si="17"/>
        <v>33052.88461538461</v>
      </c>
      <c r="AF44" s="26"/>
    </row>
    <row r="45" spans="2:32" ht="30" customHeight="1" thickBot="1">
      <c r="B45" s="32">
        <f t="shared" si="0"/>
        <v>30</v>
      </c>
      <c r="C45" s="55">
        <f>1/30</f>
        <v>0.03333333333333333</v>
      </c>
      <c r="D45" s="69">
        <f t="shared" si="1"/>
        <v>480</v>
      </c>
      <c r="E45" s="70">
        <f t="shared" si="2"/>
        <v>0.0020833333333333333</v>
      </c>
      <c r="F45" s="35">
        <f t="shared" si="3"/>
        <v>3600</v>
      </c>
      <c r="G45" s="39">
        <f t="shared" si="4"/>
        <v>151654.41176470587</v>
      </c>
      <c r="H45" s="52"/>
      <c r="I45" s="39">
        <f t="shared" si="5"/>
        <v>107421.875</v>
      </c>
      <c r="J45" s="52"/>
      <c r="K45" s="39">
        <f t="shared" si="6"/>
        <v>80566.40625</v>
      </c>
      <c r="L45" s="52"/>
      <c r="M45" s="39">
        <f t="shared" si="7"/>
        <v>58593.75</v>
      </c>
      <c r="N45" s="52"/>
      <c r="O45" s="39">
        <f t="shared" si="8"/>
        <v>49579.326923076915</v>
      </c>
      <c r="P45" s="52"/>
      <c r="Q45" s="48"/>
      <c r="R45" s="32">
        <f t="shared" si="9"/>
        <v>30</v>
      </c>
      <c r="S45" s="55">
        <f>1/30</f>
        <v>0.03333333333333333</v>
      </c>
      <c r="T45" s="69">
        <f t="shared" si="10"/>
        <v>480</v>
      </c>
      <c r="U45" s="70">
        <f t="shared" si="11"/>
        <v>0.0020833333333333333</v>
      </c>
      <c r="V45" s="38">
        <f t="shared" si="12"/>
        <v>4500</v>
      </c>
      <c r="W45" s="39">
        <f t="shared" si="13"/>
        <v>151654.41176470587</v>
      </c>
      <c r="X45" s="52"/>
      <c r="Y45" s="39">
        <f t="shared" si="14"/>
        <v>107421.875</v>
      </c>
      <c r="Z45" s="52"/>
      <c r="AA45" s="39">
        <f t="shared" si="15"/>
        <v>80566.40625</v>
      </c>
      <c r="AB45" s="52"/>
      <c r="AC45" s="39">
        <f t="shared" si="16"/>
        <v>58593.75</v>
      </c>
      <c r="AD45" s="52"/>
      <c r="AE45" s="39">
        <f t="shared" si="17"/>
        <v>49579.326923076915</v>
      </c>
      <c r="AF45" s="52"/>
    </row>
    <row r="46" spans="2:32" ht="13.5">
      <c r="B46" s="25"/>
      <c r="C46" s="25"/>
      <c r="D46" s="25"/>
      <c r="E46" s="25"/>
      <c r="G46" s="6"/>
      <c r="H46" s="6"/>
      <c r="I46" s="6"/>
      <c r="J46" s="6"/>
      <c r="K46" s="6"/>
      <c r="L46" s="6"/>
      <c r="M46" s="6"/>
      <c r="N46" s="6"/>
      <c r="O46" s="6"/>
      <c r="P46" s="6"/>
      <c r="R46" s="25"/>
      <c r="S46" s="25"/>
      <c r="T46" s="25"/>
      <c r="U46" s="25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2:32" ht="30" customHeight="1">
      <c r="B47" s="76"/>
      <c r="C47" s="76"/>
      <c r="D47" s="81" t="s">
        <v>29</v>
      </c>
      <c r="E47" s="78"/>
      <c r="G47" s="6"/>
      <c r="H47" s="6"/>
      <c r="I47" s="6"/>
      <c r="J47" s="6"/>
      <c r="K47" s="6"/>
      <c r="L47" s="6"/>
      <c r="M47" s="6"/>
      <c r="N47" s="6"/>
      <c r="O47" s="6"/>
      <c r="P47" s="6"/>
      <c r="R47" s="25"/>
      <c r="S47" s="25"/>
      <c r="T47" s="25"/>
      <c r="U47" s="25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2:32" ht="30" customHeight="1">
      <c r="B48" s="79"/>
      <c r="C48" s="79"/>
      <c r="D48" s="80" t="s">
        <v>28</v>
      </c>
      <c r="E48" s="77"/>
      <c r="G48" s="6"/>
      <c r="H48" s="6"/>
      <c r="I48" s="6"/>
      <c r="J48" s="6"/>
      <c r="K48" s="6"/>
      <c r="L48" s="6"/>
      <c r="M48" s="6"/>
      <c r="N48" s="6"/>
      <c r="O48" s="6"/>
      <c r="P48" s="6"/>
      <c r="R48" s="25"/>
      <c r="S48" s="25"/>
      <c r="T48" s="25"/>
      <c r="U48" s="25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3:32" ht="21" customHeight="1">
      <c r="C49" s="24"/>
      <c r="D49" s="24"/>
      <c r="E49" s="24"/>
      <c r="O49" s="100"/>
      <c r="P49" s="100"/>
      <c r="S49" s="24"/>
      <c r="T49" s="24"/>
      <c r="U49" s="24"/>
      <c r="AE49" s="100">
        <v>37747</v>
      </c>
      <c r="AF49" s="100"/>
    </row>
    <row r="50" ht="13.5">
      <c r="F50" s="2"/>
    </row>
    <row r="51" spans="10:11" ht="13.5">
      <c r="J51" s="13"/>
      <c r="K51" s="14"/>
    </row>
  </sheetData>
  <mergeCells count="56">
    <mergeCell ref="O13:P13"/>
    <mergeCell ref="AE49:AF49"/>
    <mergeCell ref="B2:D2"/>
    <mergeCell ref="R2:T2"/>
    <mergeCell ref="AA12:AB12"/>
    <mergeCell ref="AC12:AD12"/>
    <mergeCell ref="AE12:AF12"/>
    <mergeCell ref="W13:X13"/>
    <mergeCell ref="Y13:Z13"/>
    <mergeCell ref="AA13:AB13"/>
    <mergeCell ref="W10:AF10"/>
    <mergeCell ref="AC13:AD13"/>
    <mergeCell ref="AE13:AF13"/>
    <mergeCell ref="V10:V12"/>
    <mergeCell ref="W11:X11"/>
    <mergeCell ref="Y11:Z11"/>
    <mergeCell ref="AA11:AB11"/>
    <mergeCell ref="AC11:AD11"/>
    <mergeCell ref="AE11:AF11"/>
    <mergeCell ref="W12:X12"/>
    <mergeCell ref="Y12:Z12"/>
    <mergeCell ref="F10:F12"/>
    <mergeCell ref="B10:B11"/>
    <mergeCell ref="C10:C11"/>
    <mergeCell ref="B12:C12"/>
    <mergeCell ref="D10:D11"/>
    <mergeCell ref="E10:E11"/>
    <mergeCell ref="D12:E12"/>
    <mergeCell ref="G10:P10"/>
    <mergeCell ref="G11:H11"/>
    <mergeCell ref="J4:K4"/>
    <mergeCell ref="H5:I5"/>
    <mergeCell ref="J5:K5"/>
    <mergeCell ref="O49:P49"/>
    <mergeCell ref="M12:N12"/>
    <mergeCell ref="O12:P12"/>
    <mergeCell ref="G13:H13"/>
    <mergeCell ref="I13:J13"/>
    <mergeCell ref="K13:L13"/>
    <mergeCell ref="M13:N13"/>
    <mergeCell ref="K12:L12"/>
    <mergeCell ref="R12:S12"/>
    <mergeCell ref="I11:J11"/>
    <mergeCell ref="K11:L11"/>
    <mergeCell ref="M11:N11"/>
    <mergeCell ref="O11:P11"/>
    <mergeCell ref="B4:C4"/>
    <mergeCell ref="B5:C5"/>
    <mergeCell ref="B6:C6"/>
    <mergeCell ref="T12:U12"/>
    <mergeCell ref="R10:R11"/>
    <mergeCell ref="S10:S11"/>
    <mergeCell ref="T10:T11"/>
    <mergeCell ref="U10:U11"/>
    <mergeCell ref="G12:H12"/>
    <mergeCell ref="I12:J12"/>
  </mergeCells>
  <printOptions/>
  <pageMargins left="0.44" right="0.28" top="0.5" bottom="0.2" header="0.512" footer="0.51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S-Hashimoto</cp:lastModifiedBy>
  <cp:lastPrinted>2003-04-30T10:26:07Z</cp:lastPrinted>
  <dcterms:created xsi:type="dcterms:W3CDTF">2001-01-26T06:32:02Z</dcterms:created>
  <dcterms:modified xsi:type="dcterms:W3CDTF">2003-05-06T10:16:43Z</dcterms:modified>
  <cp:category/>
  <cp:version/>
  <cp:contentType/>
  <cp:contentStatus/>
</cp:coreProperties>
</file>